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.khoryk.UNEXBANK\Desktop\"/>
    </mc:Choice>
  </mc:AlternateContent>
  <xr:revisionPtr revIDLastSave="0" documentId="13_ncr:1_{A6853382-EDA9-420A-8B42-81C51AB97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sh" sheetId="1" r:id="rId1"/>
    <sheet name="zalog" sheetId="2" state="hidden" r:id="rId2"/>
    <sheet name="FOP" sheetId="4" state="hidden" r:id="rId3"/>
  </sheets>
  <definedNames>
    <definedName name="_xlnm._FilterDatabase" localSheetId="0" hidden="1">cash!$B$1:$U$89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7" i="1" s="1"/>
  <c r="W87" i="1" l="1"/>
  <c r="W88" i="1"/>
  <c r="D4" i="2" l="1"/>
  <c r="E20" i="2" s="1"/>
  <c r="D2" i="2"/>
  <c r="U19" i="4"/>
  <c r="D4" i="4"/>
  <c r="E16" i="4" s="1"/>
  <c r="D2" i="4"/>
  <c r="D9" i="4" s="1"/>
  <c r="D13" i="2" l="1"/>
  <c r="D10" i="4"/>
  <c r="C16" i="4"/>
  <c r="C17" i="4" s="1"/>
  <c r="K16" i="4"/>
  <c r="F16" i="4" s="1"/>
  <c r="C18" i="4" l="1"/>
  <c r="I17" i="4"/>
  <c r="D17" i="4"/>
  <c r="H17" i="4" l="1"/>
  <c r="G17" i="4" s="1"/>
  <c r="D18" i="4"/>
  <c r="I18" i="4"/>
  <c r="C19" i="4"/>
  <c r="F17" i="4" l="1"/>
  <c r="E17" i="4"/>
  <c r="H18" i="4" s="1"/>
  <c r="G18" i="4" s="1"/>
  <c r="E18" i="4" s="1"/>
  <c r="D19" i="4"/>
  <c r="I19" i="4"/>
  <c r="B19" i="4"/>
  <c r="H19" i="4" l="1"/>
  <c r="G19" i="4" s="1"/>
  <c r="F19" i="4" s="1"/>
  <c r="F18" i="4"/>
  <c r="C20" i="4"/>
  <c r="U20" i="4"/>
  <c r="B20" i="4" l="1"/>
  <c r="I20" i="4"/>
  <c r="D20" i="4"/>
  <c r="E19" i="4"/>
  <c r="H20" i="4" l="1"/>
  <c r="U21" i="4"/>
  <c r="C21" i="4"/>
  <c r="G20" i="4" l="1"/>
  <c r="F20" i="4" s="1"/>
  <c r="B21" i="4"/>
  <c r="I21" i="4"/>
  <c r="D21" i="4"/>
  <c r="E20" i="4" l="1"/>
  <c r="H21" i="4" s="1"/>
  <c r="U22" i="4"/>
  <c r="C22" i="4"/>
  <c r="G21" i="4" l="1"/>
  <c r="F21" i="4" s="1"/>
  <c r="B22" i="4"/>
  <c r="I22" i="4"/>
  <c r="D22" i="4"/>
  <c r="E21" i="4" l="1"/>
  <c r="H22" i="4" s="1"/>
  <c r="C23" i="4"/>
  <c r="U23" i="4"/>
  <c r="G22" i="4" l="1"/>
  <c r="F22" i="4" s="1"/>
  <c r="I23" i="4"/>
  <c r="D23" i="4"/>
  <c r="B23" i="4"/>
  <c r="E22" i="4" l="1"/>
  <c r="H23" i="4" s="1"/>
  <c r="G23" i="4" s="1"/>
  <c r="C24" i="4"/>
  <c r="U24" i="4"/>
  <c r="E23" i="4" l="1"/>
  <c r="F23" i="4"/>
  <c r="D24" i="4"/>
  <c r="B24" i="4"/>
  <c r="I24" i="4"/>
  <c r="H24" i="4" l="1"/>
  <c r="C25" i="4"/>
  <c r="U25" i="4"/>
  <c r="G24" i="4" l="1"/>
  <c r="E24" i="4" s="1"/>
  <c r="B25" i="4"/>
  <c r="D25" i="4"/>
  <c r="I25" i="4"/>
  <c r="F24" i="4" l="1"/>
  <c r="H25" i="4"/>
  <c r="G25" i="4" s="1"/>
  <c r="F25" i="4" s="1"/>
  <c r="U26" i="4"/>
  <c r="C26" i="4"/>
  <c r="E25" i="4" l="1"/>
  <c r="B26" i="4"/>
  <c r="I26" i="4"/>
  <c r="D26" i="4"/>
  <c r="H26" i="4" l="1"/>
  <c r="G26" i="4" s="1"/>
  <c r="F26" i="4" s="1"/>
  <c r="C27" i="4"/>
  <c r="U27" i="4"/>
  <c r="E26" i="4" l="1"/>
  <c r="I27" i="4"/>
  <c r="D27" i="4"/>
  <c r="B27" i="4"/>
  <c r="H27" i="4" l="1"/>
  <c r="G27" i="4" s="1"/>
  <c r="E27" i="4" s="1"/>
  <c r="C28" i="4"/>
  <c r="U28" i="4"/>
  <c r="F27" i="4" l="1"/>
  <c r="I28" i="4"/>
  <c r="D28" i="4"/>
  <c r="H28" i="4" s="1"/>
  <c r="G28" i="4" s="1"/>
  <c r="B28" i="4"/>
  <c r="E28" i="4" l="1"/>
  <c r="F28" i="4"/>
  <c r="U29" i="4" s="1"/>
  <c r="C29" i="4"/>
  <c r="D29" i="4" l="1"/>
  <c r="H29" i="4" s="1"/>
  <c r="G29" i="4" s="1"/>
  <c r="B29" i="4"/>
  <c r="I29" i="4"/>
  <c r="E29" i="4" l="1"/>
  <c r="F29" i="4"/>
  <c r="C30" i="4"/>
  <c r="U30" i="4"/>
  <c r="B30" i="4" l="1"/>
  <c r="I30" i="4"/>
  <c r="D30" i="4"/>
  <c r="H30" i="4" s="1"/>
  <c r="G30" i="4" s="1"/>
  <c r="E30" i="4" l="1"/>
  <c r="F30" i="4"/>
  <c r="U31" i="4"/>
  <c r="C31" i="4"/>
  <c r="B31" i="4" l="1"/>
  <c r="I31" i="4"/>
  <c r="D31" i="4"/>
  <c r="H31" i="4" s="1"/>
  <c r="G31" i="4" s="1"/>
  <c r="F31" i="4" l="1"/>
  <c r="E31" i="4"/>
  <c r="C32" i="4"/>
  <c r="U32" i="4"/>
  <c r="I32" i="4" l="1"/>
  <c r="D32" i="4"/>
  <c r="H32" i="4" s="1"/>
  <c r="G32" i="4" s="1"/>
  <c r="B32" i="4"/>
  <c r="E32" i="4" l="1"/>
  <c r="C33" i="4"/>
  <c r="U33" i="4"/>
  <c r="F32" i="4"/>
  <c r="D33" i="4" l="1"/>
  <c r="H33" i="4" s="1"/>
  <c r="G33" i="4" s="1"/>
  <c r="B33" i="4"/>
  <c r="I33" i="4"/>
  <c r="E33" i="4" l="1"/>
  <c r="F33" i="4"/>
  <c r="C34" i="4"/>
  <c r="U34" i="4"/>
  <c r="B34" i="4" l="1"/>
  <c r="I34" i="4"/>
  <c r="D34" i="4"/>
  <c r="H34" i="4" s="1"/>
  <c r="G34" i="4" s="1"/>
  <c r="E34" i="4" l="1"/>
  <c r="F34" i="4"/>
  <c r="U35" i="4"/>
  <c r="C35" i="4"/>
  <c r="B35" i="4" l="1"/>
  <c r="I35" i="4"/>
  <c r="D35" i="4"/>
  <c r="H35" i="4" s="1"/>
  <c r="G35" i="4" s="1"/>
  <c r="F35" i="4" l="1"/>
  <c r="E35" i="4"/>
  <c r="C36" i="4"/>
  <c r="U36" i="4"/>
  <c r="I36" i="4" l="1"/>
  <c r="D36" i="4"/>
  <c r="H36" i="4" s="1"/>
  <c r="G36" i="4" s="1"/>
  <c r="B36" i="4"/>
  <c r="E36" i="4" l="1"/>
  <c r="F36" i="4"/>
  <c r="C37" i="4"/>
  <c r="U37" i="4"/>
  <c r="I37" i="4" l="1"/>
  <c r="D37" i="4"/>
  <c r="H37" i="4" s="1"/>
  <c r="G37" i="4" s="1"/>
  <c r="B37" i="4"/>
  <c r="F37" i="4" l="1"/>
  <c r="E37" i="4"/>
  <c r="U38" i="4"/>
  <c r="C38" i="4"/>
  <c r="B38" i="4" l="1"/>
  <c r="I38" i="4"/>
  <c r="D38" i="4"/>
  <c r="H38" i="4" s="1"/>
  <c r="G38" i="4" s="1"/>
  <c r="F38" i="4" l="1"/>
  <c r="E38" i="4"/>
  <c r="U39" i="4"/>
  <c r="C39" i="4"/>
  <c r="I39" i="4" l="1"/>
  <c r="B39" i="4"/>
  <c r="D39" i="4"/>
  <c r="H39" i="4" s="1"/>
  <c r="G39" i="4" s="1"/>
  <c r="F39" i="4" l="1"/>
  <c r="E39" i="4"/>
  <c r="C40" i="4"/>
  <c r="U40" i="4"/>
  <c r="D40" i="4" l="1"/>
  <c r="H40" i="4" s="1"/>
  <c r="G40" i="4" s="1"/>
  <c r="I40" i="4"/>
  <c r="B40" i="4"/>
  <c r="F40" i="4" l="1"/>
  <c r="E40" i="4"/>
  <c r="C41" i="4"/>
  <c r="U41" i="4"/>
  <c r="I41" i="4" l="1"/>
  <c r="D41" i="4"/>
  <c r="H41" i="4" s="1"/>
  <c r="G41" i="4" s="1"/>
  <c r="B41" i="4"/>
  <c r="F41" i="4" l="1"/>
  <c r="E41" i="4"/>
  <c r="U42" i="4"/>
  <c r="C42" i="4"/>
  <c r="B42" i="4" l="1"/>
  <c r="I42" i="4"/>
  <c r="D42" i="4"/>
  <c r="H42" i="4" s="1"/>
  <c r="G42" i="4" s="1"/>
  <c r="F42" i="4" l="1"/>
  <c r="E42" i="4"/>
  <c r="C43" i="4"/>
  <c r="U43" i="4"/>
  <c r="I43" i="4" l="1"/>
  <c r="B43" i="4"/>
  <c r="D43" i="4"/>
  <c r="H43" i="4" s="1"/>
  <c r="G43" i="4" s="1"/>
  <c r="E43" i="4" l="1"/>
  <c r="F43" i="4"/>
  <c r="U44" i="4"/>
  <c r="C44" i="4"/>
  <c r="D44" i="4" l="1"/>
  <c r="H44" i="4" s="1"/>
  <c r="G44" i="4" s="1"/>
  <c r="I44" i="4"/>
  <c r="B44" i="4"/>
  <c r="E44" i="4" l="1"/>
  <c r="F44" i="4"/>
  <c r="C45" i="4"/>
  <c r="U45" i="4"/>
  <c r="I45" i="4" l="1"/>
  <c r="D45" i="4"/>
  <c r="H45" i="4" s="1"/>
  <c r="G45" i="4" s="1"/>
  <c r="B45" i="4"/>
  <c r="E45" i="4" l="1"/>
  <c r="F45" i="4"/>
  <c r="U46" i="4"/>
  <c r="C46" i="4"/>
  <c r="B46" i="4" l="1"/>
  <c r="D46" i="4"/>
  <c r="H46" i="4" s="1"/>
  <c r="G46" i="4" s="1"/>
  <c r="I46" i="4"/>
  <c r="F46" i="4" l="1"/>
  <c r="E46" i="4"/>
  <c r="U47" i="4"/>
  <c r="C47" i="4"/>
  <c r="I47" i="4" l="1"/>
  <c r="D47" i="4"/>
  <c r="H47" i="4" s="1"/>
  <c r="G47" i="4" s="1"/>
  <c r="B47" i="4"/>
  <c r="F47" i="4" l="1"/>
  <c r="E47" i="4"/>
  <c r="U48" i="4"/>
  <c r="C48" i="4"/>
  <c r="D48" i="4" l="1"/>
  <c r="H48" i="4" s="1"/>
  <c r="G48" i="4" s="1"/>
  <c r="I48" i="4"/>
  <c r="B48" i="4"/>
  <c r="F48" i="4" l="1"/>
  <c r="E48" i="4"/>
  <c r="U49" i="4"/>
  <c r="C49" i="4"/>
  <c r="B49" i="4" l="1"/>
  <c r="I49" i="4"/>
  <c r="D49" i="4"/>
  <c r="H49" i="4" s="1"/>
  <c r="G49" i="4" s="1"/>
  <c r="E49" i="4" l="1"/>
  <c r="F49" i="4"/>
  <c r="C50" i="4"/>
  <c r="U50" i="4"/>
  <c r="I50" i="4" l="1"/>
  <c r="D50" i="4"/>
  <c r="H50" i="4" s="1"/>
  <c r="G50" i="4" s="1"/>
  <c r="B50" i="4"/>
  <c r="F50" i="4" l="1"/>
  <c r="E50" i="4"/>
  <c r="U51" i="4"/>
  <c r="C51" i="4"/>
  <c r="D51" i="4" l="1"/>
  <c r="H51" i="4" s="1"/>
  <c r="G51" i="4" s="1"/>
  <c r="I51" i="4"/>
  <c r="B51" i="4"/>
  <c r="E51" i="4" l="1"/>
  <c r="F51" i="4"/>
  <c r="C52" i="4"/>
  <c r="U52" i="4"/>
  <c r="I52" i="4" l="1"/>
  <c r="B52" i="4"/>
  <c r="D52" i="4"/>
  <c r="H52" i="4" s="1"/>
  <c r="G52" i="4" s="1"/>
  <c r="F52" i="4" l="1"/>
  <c r="E52" i="4"/>
  <c r="U53" i="4"/>
  <c r="C53" i="4"/>
  <c r="B53" i="4" l="1"/>
  <c r="D53" i="4"/>
  <c r="H53" i="4" s="1"/>
  <c r="G53" i="4" s="1"/>
  <c r="I53" i="4"/>
  <c r="E53" i="4" l="1"/>
  <c r="F53" i="4"/>
  <c r="U54" i="4"/>
  <c r="C54" i="4"/>
  <c r="I54" i="4" l="1"/>
  <c r="D54" i="4"/>
  <c r="H54" i="4" s="1"/>
  <c r="G54" i="4" s="1"/>
  <c r="B54" i="4"/>
  <c r="E54" i="4" l="1"/>
  <c r="F54" i="4"/>
  <c r="U55" i="4"/>
  <c r="C55" i="4"/>
  <c r="D55" i="4" l="1"/>
  <c r="H55" i="4" s="1"/>
  <c r="G55" i="4" s="1"/>
  <c r="I55" i="4"/>
  <c r="B55" i="4"/>
  <c r="F55" i="4" l="1"/>
  <c r="E55" i="4"/>
  <c r="C56" i="4"/>
  <c r="U56" i="4"/>
  <c r="B56" i="4" l="1"/>
  <c r="I56" i="4"/>
  <c r="D56" i="4"/>
  <c r="H56" i="4" s="1"/>
  <c r="G56" i="4" s="1"/>
  <c r="F56" i="4" l="1"/>
  <c r="E56" i="4"/>
  <c r="U57" i="4"/>
  <c r="C57" i="4"/>
  <c r="B57" i="4" l="1"/>
  <c r="I57" i="4"/>
  <c r="D57" i="4"/>
  <c r="H57" i="4" s="1"/>
  <c r="G57" i="4" s="1"/>
  <c r="F57" i="4" l="1"/>
  <c r="E57" i="4"/>
  <c r="U58" i="4"/>
  <c r="C58" i="4"/>
  <c r="I58" i="4" l="1"/>
  <c r="D58" i="4"/>
  <c r="H58" i="4" s="1"/>
  <c r="G58" i="4" s="1"/>
  <c r="B58" i="4"/>
  <c r="E58" i="4" l="1"/>
  <c r="F58" i="4"/>
  <c r="U59" i="4"/>
  <c r="C59" i="4"/>
  <c r="D59" i="4" l="1"/>
  <c r="H59" i="4" s="1"/>
  <c r="G59" i="4" s="1"/>
  <c r="B59" i="4"/>
  <c r="I59" i="4"/>
  <c r="E59" i="4" l="1"/>
  <c r="F59" i="4"/>
  <c r="C60" i="4"/>
  <c r="U60" i="4"/>
  <c r="I60" i="4" l="1"/>
  <c r="D60" i="4"/>
  <c r="H60" i="4" s="1"/>
  <c r="G60" i="4" s="1"/>
  <c r="B60" i="4"/>
  <c r="F60" i="4" l="1"/>
  <c r="E60" i="4"/>
  <c r="U61" i="4"/>
  <c r="C61" i="4"/>
  <c r="B61" i="4" l="1"/>
  <c r="D61" i="4"/>
  <c r="H61" i="4" s="1"/>
  <c r="G61" i="4" s="1"/>
  <c r="I61" i="4"/>
  <c r="F61" i="4" l="1"/>
  <c r="E61" i="4"/>
  <c r="U62" i="4"/>
  <c r="C62" i="4"/>
  <c r="I62" i="4" l="1"/>
  <c r="B62" i="4"/>
  <c r="D62" i="4"/>
  <c r="H62" i="4" s="1"/>
  <c r="G62" i="4" s="1"/>
  <c r="E62" i="4" l="1"/>
  <c r="F62" i="4"/>
  <c r="C63" i="4"/>
  <c r="U63" i="4"/>
  <c r="D63" i="4" l="1"/>
  <c r="H63" i="4" s="1"/>
  <c r="G63" i="4" s="1"/>
  <c r="I63" i="4"/>
  <c r="B63" i="4"/>
  <c r="E63" i="4" l="1"/>
  <c r="F63" i="4"/>
  <c r="C64" i="4"/>
  <c r="U64" i="4"/>
  <c r="D64" i="4" l="1"/>
  <c r="H64" i="4" s="1"/>
  <c r="G64" i="4" s="1"/>
  <c r="B64" i="4"/>
  <c r="I64" i="4"/>
  <c r="E64" i="4" l="1"/>
  <c r="F64" i="4"/>
  <c r="U65" i="4"/>
  <c r="C65" i="4"/>
  <c r="B65" i="4" l="1"/>
  <c r="D65" i="4"/>
  <c r="H65" i="4" s="1"/>
  <c r="G65" i="4" s="1"/>
  <c r="I65" i="4"/>
  <c r="E65" i="4" l="1"/>
  <c r="F65" i="4"/>
  <c r="C66" i="4"/>
  <c r="U66" i="4"/>
  <c r="I66" i="4" l="1"/>
  <c r="D66" i="4"/>
  <c r="H66" i="4" s="1"/>
  <c r="G66" i="4" s="1"/>
  <c r="B66" i="4"/>
  <c r="E66" i="4" l="1"/>
  <c r="F66" i="4"/>
  <c r="U67" i="4"/>
  <c r="C67" i="4"/>
  <c r="D67" i="4" l="1"/>
  <c r="H67" i="4" s="1"/>
  <c r="G67" i="4" s="1"/>
  <c r="I67" i="4"/>
  <c r="B67" i="4"/>
  <c r="E67" i="4" l="1"/>
  <c r="F67" i="4"/>
  <c r="C68" i="4"/>
  <c r="U68" i="4"/>
  <c r="D68" i="4" l="1"/>
  <c r="H68" i="4" s="1"/>
  <c r="G68" i="4" s="1"/>
  <c r="I68" i="4"/>
  <c r="B68" i="4"/>
  <c r="E68" i="4" l="1"/>
  <c r="F68" i="4"/>
  <c r="U69" i="4"/>
  <c r="C69" i="4"/>
  <c r="B69" i="4" l="1"/>
  <c r="D69" i="4"/>
  <c r="H69" i="4" s="1"/>
  <c r="G69" i="4" s="1"/>
  <c r="I69" i="4"/>
  <c r="E69" i="4" l="1"/>
  <c r="F69" i="4"/>
  <c r="U70" i="4"/>
  <c r="C70" i="4"/>
  <c r="I70" i="4" l="1"/>
  <c r="D70" i="4"/>
  <c r="H70" i="4" s="1"/>
  <c r="G70" i="4" s="1"/>
  <c r="B70" i="4"/>
  <c r="E70" i="4" l="1"/>
  <c r="F70" i="4"/>
  <c r="U71" i="4"/>
  <c r="C71" i="4"/>
  <c r="D71" i="4" l="1"/>
  <c r="H71" i="4" s="1"/>
  <c r="G71" i="4" s="1"/>
  <c r="I71" i="4"/>
  <c r="B71" i="4"/>
  <c r="F71" i="4" l="1"/>
  <c r="E71" i="4"/>
  <c r="C72" i="4"/>
  <c r="U72" i="4"/>
  <c r="B72" i="4" l="1"/>
  <c r="D72" i="4"/>
  <c r="H72" i="4" s="1"/>
  <c r="G72" i="4" s="1"/>
  <c r="I72" i="4"/>
  <c r="E72" i="4" l="1"/>
  <c r="F72" i="4"/>
  <c r="U73" i="4"/>
  <c r="C73" i="4"/>
  <c r="B73" i="4" l="1"/>
  <c r="I73" i="4"/>
  <c r="D73" i="4"/>
  <c r="H73" i="4" s="1"/>
  <c r="G73" i="4" s="1"/>
  <c r="F73" i="4" l="1"/>
  <c r="E73" i="4"/>
  <c r="U74" i="4"/>
  <c r="C74" i="4"/>
  <c r="I74" i="4" l="1"/>
  <c r="B74" i="4"/>
  <c r="D74" i="4"/>
  <c r="H74" i="4" s="1"/>
  <c r="G74" i="4" s="1"/>
  <c r="F74" i="4" l="1"/>
  <c r="E74" i="4"/>
  <c r="U75" i="4"/>
  <c r="C75" i="4"/>
  <c r="D75" i="4" l="1"/>
  <c r="H75" i="4" s="1"/>
  <c r="G75" i="4" s="1"/>
  <c r="B75" i="4"/>
  <c r="I75" i="4"/>
  <c r="F75" i="4" l="1"/>
  <c r="E75" i="4"/>
  <c r="C76" i="4"/>
  <c r="U76" i="4"/>
  <c r="D76" i="4" l="1"/>
  <c r="H76" i="4" s="1"/>
  <c r="G76" i="4" s="1"/>
  <c r="E76" i="4" s="1"/>
  <c r="B76" i="4"/>
  <c r="I76" i="4"/>
  <c r="F76" i="4" l="1"/>
  <c r="U77" i="4" s="1"/>
  <c r="C77" i="4"/>
  <c r="G77" i="4" l="1"/>
  <c r="F77" i="4"/>
  <c r="B77" i="4"/>
  <c r="I77" i="4"/>
  <c r="H77" i="4"/>
  <c r="E77" i="4"/>
  <c r="D77" i="4"/>
  <c r="U78" i="4" l="1"/>
  <c r="C78" i="4"/>
  <c r="F78" i="4" l="1"/>
  <c r="B78" i="4"/>
  <c r="I78" i="4"/>
  <c r="E78" i="4"/>
  <c r="H78" i="4"/>
  <c r="G78" i="4"/>
  <c r="D78" i="4"/>
  <c r="U79" i="4" l="1"/>
  <c r="C79" i="4"/>
  <c r="I79" i="4" l="1"/>
  <c r="E79" i="4"/>
  <c r="H79" i="4"/>
  <c r="D79" i="4"/>
  <c r="G79" i="4"/>
  <c r="B79" i="4"/>
  <c r="F79" i="4"/>
  <c r="C80" i="4" l="1"/>
  <c r="U80" i="4"/>
  <c r="H80" i="4" l="1"/>
  <c r="D80" i="4"/>
  <c r="G80" i="4"/>
  <c r="F80" i="4"/>
  <c r="B80" i="4"/>
  <c r="I80" i="4"/>
  <c r="E80" i="4"/>
  <c r="C81" i="4" l="1"/>
  <c r="U81" i="4"/>
  <c r="G81" i="4" l="1"/>
  <c r="F81" i="4"/>
  <c r="B81" i="4"/>
  <c r="E81" i="4"/>
  <c r="D81" i="4"/>
  <c r="I81" i="4"/>
  <c r="H81" i="4"/>
  <c r="U82" i="4" l="1"/>
  <c r="C82" i="4"/>
  <c r="F82" i="4" l="1"/>
  <c r="B82" i="4"/>
  <c r="I82" i="4"/>
  <c r="E82" i="4"/>
  <c r="D82" i="4"/>
  <c r="G82" i="4"/>
  <c r="H82" i="4"/>
  <c r="C83" i="4" l="1"/>
  <c r="U83" i="4"/>
  <c r="I83" i="4" l="1"/>
  <c r="E83" i="4"/>
  <c r="H83" i="4"/>
  <c r="D83" i="4"/>
  <c r="G83" i="4"/>
  <c r="F83" i="4"/>
  <c r="B83" i="4"/>
  <c r="C84" i="4" l="1"/>
  <c r="U84" i="4"/>
  <c r="H84" i="4" l="1"/>
  <c r="D84" i="4"/>
  <c r="G84" i="4"/>
  <c r="B84" i="4"/>
  <c r="I84" i="4"/>
  <c r="F84" i="4"/>
  <c r="E84" i="4"/>
  <c r="C85" i="4" l="1"/>
  <c r="U85" i="4"/>
  <c r="G85" i="4" l="1"/>
  <c r="G3" i="4" s="1"/>
  <c r="F85" i="4"/>
  <c r="B85" i="4"/>
  <c r="I85" i="4"/>
  <c r="H85" i="4"/>
  <c r="E85" i="4"/>
  <c r="D85" i="4"/>
  <c r="T16" i="4" l="1"/>
  <c r="U86" i="4"/>
  <c r="C86" i="4"/>
  <c r="F86" i="4" l="1"/>
  <c r="B86" i="4"/>
  <c r="C87" i="4" s="1"/>
  <c r="E86" i="4"/>
  <c r="I86" i="4"/>
  <c r="H86" i="4"/>
  <c r="D86" i="4"/>
  <c r="B87" i="4" l="1"/>
  <c r="U87" i="4" s="1"/>
  <c r="S16" i="4" s="1"/>
  <c r="I87" i="4"/>
  <c r="D87" i="4"/>
  <c r="O20" i="2" l="1"/>
  <c r="Q20" i="2"/>
  <c r="D3" i="1" l="1"/>
  <c r="D10" i="1" s="1"/>
  <c r="F5" i="2"/>
  <c r="F3" i="2"/>
  <c r="E9" i="2"/>
  <c r="F9" i="2" s="1"/>
  <c r="D11" i="1"/>
  <c r="U142" i="2"/>
  <c r="U143" i="2"/>
  <c r="U144" i="2"/>
  <c r="E18" i="1" l="1"/>
  <c r="U23" i="2" l="1"/>
  <c r="K20" i="2"/>
  <c r="C20" i="2"/>
  <c r="C21" i="2" s="1"/>
  <c r="I21" i="2" s="1"/>
  <c r="D12" i="2"/>
  <c r="F20" i="2" l="1"/>
  <c r="C22" i="2"/>
  <c r="D21" i="2"/>
  <c r="H21" i="2" s="1"/>
  <c r="G21" i="2" s="1"/>
  <c r="F21" i="2" s="1"/>
  <c r="E21" i="2" l="1"/>
  <c r="D22" i="2"/>
  <c r="C23" i="2"/>
  <c r="I22" i="2"/>
  <c r="H22" i="2" l="1"/>
  <c r="G22" i="2" s="1"/>
  <c r="E22" i="2" s="1"/>
  <c r="D23" i="2"/>
  <c r="B23" i="2"/>
  <c r="I23" i="2"/>
  <c r="H23" i="2" l="1"/>
  <c r="G23" i="2" s="1"/>
  <c r="F23" i="2" s="1"/>
  <c r="C24" i="2"/>
  <c r="U24" i="2"/>
  <c r="F22" i="2"/>
  <c r="B24" i="2" l="1"/>
  <c r="D24" i="2"/>
  <c r="I24" i="2"/>
  <c r="E23" i="2"/>
  <c r="H24" i="2" l="1"/>
  <c r="G24" i="2" s="1"/>
  <c r="E24" i="2" s="1"/>
  <c r="U25" i="2"/>
  <c r="C25" i="2"/>
  <c r="F24" i="2" l="1"/>
  <c r="B25" i="2"/>
  <c r="I25" i="2"/>
  <c r="D25" i="2"/>
  <c r="H25" i="2" s="1"/>
  <c r="G25" i="2" s="1"/>
  <c r="F25" i="2" l="1"/>
  <c r="E25" i="2"/>
  <c r="U26" i="2"/>
  <c r="C26" i="2"/>
  <c r="I26" i="2" l="1"/>
  <c r="D26" i="2"/>
  <c r="H26" i="2" s="1"/>
  <c r="G26" i="2" s="1"/>
  <c r="B26" i="2"/>
  <c r="E26" i="2" l="1"/>
  <c r="F26" i="2"/>
  <c r="C27" i="2"/>
  <c r="U27" i="2"/>
  <c r="D27" i="2" l="1"/>
  <c r="H27" i="2" s="1"/>
  <c r="G27" i="2" s="1"/>
  <c r="I27" i="2"/>
  <c r="B27" i="2"/>
  <c r="F27" i="2" l="1"/>
  <c r="E27" i="2"/>
  <c r="C28" i="2"/>
  <c r="U28" i="2"/>
  <c r="B28" i="2" l="1"/>
  <c r="D28" i="2"/>
  <c r="H28" i="2" s="1"/>
  <c r="G28" i="2" s="1"/>
  <c r="I28" i="2"/>
  <c r="E28" i="2" l="1"/>
  <c r="F28" i="2"/>
  <c r="U29" i="2"/>
  <c r="C29" i="2"/>
  <c r="B29" i="2" l="1"/>
  <c r="I29" i="2"/>
  <c r="D29" i="2"/>
  <c r="H29" i="2" s="1"/>
  <c r="G29" i="2" s="1"/>
  <c r="F29" i="2" l="1"/>
  <c r="E29" i="2"/>
  <c r="C30" i="2"/>
  <c r="U30" i="2"/>
  <c r="I30" i="2" l="1"/>
  <c r="D30" i="2"/>
  <c r="H30" i="2" s="1"/>
  <c r="G30" i="2" s="1"/>
  <c r="B30" i="2"/>
  <c r="F30" i="2" l="1"/>
  <c r="E30" i="2"/>
  <c r="C31" i="2"/>
  <c r="U31" i="2"/>
  <c r="D31" i="2" l="1"/>
  <c r="H31" i="2" s="1"/>
  <c r="G31" i="2" s="1"/>
  <c r="B31" i="2"/>
  <c r="I31" i="2"/>
  <c r="F31" i="2" l="1"/>
  <c r="U32" i="2" s="1"/>
  <c r="E31" i="2"/>
  <c r="C32" i="2"/>
  <c r="B32" i="2" l="1"/>
  <c r="D32" i="2"/>
  <c r="H32" i="2" s="1"/>
  <c r="G32" i="2" s="1"/>
  <c r="I32" i="2"/>
  <c r="E32" i="2" l="1"/>
  <c r="F32" i="2" s="1"/>
  <c r="U33" i="2" s="1"/>
  <c r="C33" i="2"/>
  <c r="B33" i="2" l="1"/>
  <c r="I33" i="2"/>
  <c r="D33" i="2"/>
  <c r="H33" i="2" s="1"/>
  <c r="G33" i="2" s="1"/>
  <c r="E33" i="2" l="1"/>
  <c r="U34" i="2"/>
  <c r="C34" i="2"/>
  <c r="Q33" i="2" l="1"/>
  <c r="F33" i="2" s="1"/>
  <c r="I34" i="2"/>
  <c r="D34" i="2"/>
  <c r="H34" i="2" s="1"/>
  <c r="G34" i="2" s="1"/>
  <c r="B34" i="2"/>
  <c r="F34" i="2" l="1"/>
  <c r="E34" i="2"/>
  <c r="C35" i="2"/>
  <c r="U35" i="2"/>
  <c r="D35" i="2" l="1"/>
  <c r="H35" i="2" s="1"/>
  <c r="G35" i="2" s="1"/>
  <c r="I35" i="2"/>
  <c r="B35" i="2"/>
  <c r="F35" i="2" l="1"/>
  <c r="E35" i="2"/>
  <c r="C36" i="2"/>
  <c r="U36" i="2"/>
  <c r="B36" i="2" l="1"/>
  <c r="D36" i="2"/>
  <c r="H36" i="2" s="1"/>
  <c r="G36" i="2" s="1"/>
  <c r="I36" i="2"/>
  <c r="F36" i="2" l="1"/>
  <c r="U37" i="2"/>
  <c r="C37" i="2"/>
  <c r="E36" i="2"/>
  <c r="B37" i="2" l="1"/>
  <c r="I37" i="2"/>
  <c r="D37" i="2"/>
  <c r="H37" i="2" s="1"/>
  <c r="G37" i="2" s="1"/>
  <c r="F37" i="2" l="1"/>
  <c r="E37" i="2"/>
  <c r="C38" i="2"/>
  <c r="U38" i="2"/>
  <c r="I38" i="2" l="1"/>
  <c r="D38" i="2"/>
  <c r="H38" i="2" s="1"/>
  <c r="G38" i="2" s="1"/>
  <c r="B38" i="2"/>
  <c r="F38" i="2" l="1"/>
  <c r="E38" i="2"/>
  <c r="C39" i="2"/>
  <c r="U39" i="2"/>
  <c r="D39" i="2" l="1"/>
  <c r="H39" i="2" s="1"/>
  <c r="G39" i="2" s="1"/>
  <c r="B39" i="2"/>
  <c r="U40" i="2" s="1"/>
  <c r="I39" i="2"/>
  <c r="F39" i="2" l="1"/>
  <c r="E39" i="2"/>
  <c r="C40" i="2"/>
  <c r="B40" i="2" l="1"/>
  <c r="U41" i="2" s="1"/>
  <c r="D40" i="2"/>
  <c r="H40" i="2" s="1"/>
  <c r="G40" i="2" s="1"/>
  <c r="I40" i="2"/>
  <c r="F40" i="2" l="1"/>
  <c r="E40" i="2"/>
  <c r="C41" i="2"/>
  <c r="B41" i="2" l="1"/>
  <c r="U42" i="2" s="1"/>
  <c r="I41" i="2"/>
  <c r="D41" i="2"/>
  <c r="H41" i="2" s="1"/>
  <c r="G41" i="2" s="1"/>
  <c r="F41" i="2" l="1"/>
  <c r="E41" i="2"/>
  <c r="C42" i="2"/>
  <c r="I42" i="2" l="1"/>
  <c r="D42" i="2"/>
  <c r="H42" i="2" s="1"/>
  <c r="G42" i="2" s="1"/>
  <c r="B42" i="2"/>
  <c r="U43" i="2" s="1"/>
  <c r="F42" i="2" l="1"/>
  <c r="E42" i="2"/>
  <c r="C43" i="2"/>
  <c r="D43" i="2" l="1"/>
  <c r="H43" i="2" s="1"/>
  <c r="G43" i="2" s="1"/>
  <c r="I43" i="2"/>
  <c r="B43" i="2"/>
  <c r="U44" i="2" s="1"/>
  <c r="F43" i="2" l="1"/>
  <c r="E43" i="2"/>
  <c r="C44" i="2"/>
  <c r="B44" i="2" l="1"/>
  <c r="D44" i="2"/>
  <c r="H44" i="2" s="1"/>
  <c r="G44" i="2" s="1"/>
  <c r="I44" i="2"/>
  <c r="E44" i="2" l="1"/>
  <c r="F44" i="2" s="1"/>
  <c r="U45" i="2" s="1"/>
  <c r="C45" i="2"/>
  <c r="B45" i="2" l="1"/>
  <c r="I45" i="2"/>
  <c r="D45" i="2"/>
  <c r="H45" i="2" s="1"/>
  <c r="G45" i="2" s="1"/>
  <c r="U46" i="2" l="1"/>
  <c r="E45" i="2"/>
  <c r="C46" i="2"/>
  <c r="Q45" i="2" l="1"/>
  <c r="F45" i="2" s="1"/>
  <c r="I46" i="2"/>
  <c r="D46" i="2"/>
  <c r="H46" i="2" s="1"/>
  <c r="G46" i="2" s="1"/>
  <c r="B46" i="2"/>
  <c r="U47" i="2" s="1"/>
  <c r="F46" i="2" l="1"/>
  <c r="E46" i="2"/>
  <c r="C47" i="2"/>
  <c r="D47" i="2" l="1"/>
  <c r="H47" i="2" s="1"/>
  <c r="G47" i="2" s="1"/>
  <c r="B47" i="2"/>
  <c r="U48" i="2" s="1"/>
  <c r="I47" i="2"/>
  <c r="F47" i="2" l="1"/>
  <c r="E47" i="2"/>
  <c r="C48" i="2"/>
  <c r="B48" i="2" l="1"/>
  <c r="U49" i="2" s="1"/>
  <c r="D48" i="2"/>
  <c r="H48" i="2" s="1"/>
  <c r="G48" i="2" s="1"/>
  <c r="I48" i="2"/>
  <c r="F48" i="2" l="1"/>
  <c r="E48" i="2"/>
  <c r="C49" i="2"/>
  <c r="B49" i="2" l="1"/>
  <c r="U50" i="2" s="1"/>
  <c r="I49" i="2"/>
  <c r="D49" i="2"/>
  <c r="H49" i="2" s="1"/>
  <c r="G49" i="2" s="1"/>
  <c r="F49" i="2" l="1"/>
  <c r="E49" i="2"/>
  <c r="C50" i="2"/>
  <c r="I50" i="2" l="1"/>
  <c r="D50" i="2"/>
  <c r="H50" i="2" s="1"/>
  <c r="G50" i="2" s="1"/>
  <c r="B50" i="2"/>
  <c r="U51" i="2" s="1"/>
  <c r="F50" i="2" l="1"/>
  <c r="E50" i="2"/>
  <c r="C51" i="2"/>
  <c r="D51" i="2" l="1"/>
  <c r="H51" i="2" s="1"/>
  <c r="G51" i="2" s="1"/>
  <c r="I51" i="2"/>
  <c r="B51" i="2"/>
  <c r="U52" i="2" s="1"/>
  <c r="F51" i="2" l="1"/>
  <c r="E51" i="2"/>
  <c r="C52" i="2"/>
  <c r="B52" i="2" l="1"/>
  <c r="U53" i="2" s="1"/>
  <c r="D52" i="2"/>
  <c r="H52" i="2" s="1"/>
  <c r="G52" i="2" s="1"/>
  <c r="I52" i="2"/>
  <c r="F52" i="2" l="1"/>
  <c r="E52" i="2"/>
  <c r="C53" i="2"/>
  <c r="B53" i="2" l="1"/>
  <c r="U54" i="2" s="1"/>
  <c r="I53" i="2"/>
  <c r="D53" i="2"/>
  <c r="H53" i="2" s="1"/>
  <c r="G53" i="2" s="1"/>
  <c r="F53" i="2" l="1"/>
  <c r="E53" i="2"/>
  <c r="C54" i="2"/>
  <c r="I54" i="2" l="1"/>
  <c r="D54" i="2"/>
  <c r="H54" i="2" s="1"/>
  <c r="G54" i="2" s="1"/>
  <c r="B54" i="2"/>
  <c r="U55" i="2" s="1"/>
  <c r="F54" i="2" l="1"/>
  <c r="E54" i="2"/>
  <c r="C55" i="2"/>
  <c r="D55" i="2" l="1"/>
  <c r="H55" i="2" s="1"/>
  <c r="G55" i="2" s="1"/>
  <c r="B55" i="2"/>
  <c r="U56" i="2" s="1"/>
  <c r="I55" i="2"/>
  <c r="F55" i="2" l="1"/>
  <c r="E55" i="2"/>
  <c r="C56" i="2"/>
  <c r="B56" i="2" l="1"/>
  <c r="D56" i="2"/>
  <c r="H56" i="2" s="1"/>
  <c r="G56" i="2" s="1"/>
  <c r="I56" i="2"/>
  <c r="E56" i="2" l="1"/>
  <c r="F56" i="2" s="1"/>
  <c r="U57" i="2" s="1"/>
  <c r="C57" i="2"/>
  <c r="B57" i="2" l="1"/>
  <c r="I57" i="2"/>
  <c r="D57" i="2"/>
  <c r="H57" i="2" s="1"/>
  <c r="G57" i="2" s="1"/>
  <c r="U58" i="2" l="1"/>
  <c r="E57" i="2"/>
  <c r="Q57" i="2" s="1"/>
  <c r="C58" i="2"/>
  <c r="F57" i="2" l="1"/>
  <c r="I58" i="2"/>
  <c r="D58" i="2"/>
  <c r="H58" i="2" s="1"/>
  <c r="G58" i="2" s="1"/>
  <c r="B58" i="2"/>
  <c r="U59" i="2" s="1"/>
  <c r="F58" i="2" l="1"/>
  <c r="E58" i="2"/>
  <c r="C59" i="2"/>
  <c r="D59" i="2" l="1"/>
  <c r="H59" i="2" s="1"/>
  <c r="G59" i="2" s="1"/>
  <c r="I59" i="2"/>
  <c r="B59" i="2"/>
  <c r="U60" i="2" s="1"/>
  <c r="F59" i="2" l="1"/>
  <c r="E59" i="2"/>
  <c r="C60" i="2"/>
  <c r="B60" i="2" l="1"/>
  <c r="U61" i="2" s="1"/>
  <c r="D60" i="2"/>
  <c r="H60" i="2" s="1"/>
  <c r="G60" i="2" s="1"/>
  <c r="I60" i="2"/>
  <c r="F60" i="2" l="1"/>
  <c r="E60" i="2"/>
  <c r="C61" i="2"/>
  <c r="B61" i="2" l="1"/>
  <c r="U62" i="2" s="1"/>
  <c r="I61" i="2"/>
  <c r="D61" i="2"/>
  <c r="H61" i="2" s="1"/>
  <c r="G61" i="2" s="1"/>
  <c r="F61" i="2" l="1"/>
  <c r="E61" i="2"/>
  <c r="C62" i="2"/>
  <c r="I62" i="2" l="1"/>
  <c r="D62" i="2"/>
  <c r="H62" i="2" s="1"/>
  <c r="G62" i="2" s="1"/>
  <c r="B62" i="2"/>
  <c r="U63" i="2" s="1"/>
  <c r="F62" i="2" l="1"/>
  <c r="E62" i="2"/>
  <c r="C63" i="2"/>
  <c r="D63" i="2" l="1"/>
  <c r="H63" i="2" s="1"/>
  <c r="G63" i="2" s="1"/>
  <c r="B63" i="2"/>
  <c r="U64" i="2" s="1"/>
  <c r="I63" i="2"/>
  <c r="F63" i="2" l="1"/>
  <c r="E63" i="2"/>
  <c r="C64" i="2"/>
  <c r="B64" i="2" l="1"/>
  <c r="U65" i="2" s="1"/>
  <c r="D64" i="2"/>
  <c r="H64" i="2" s="1"/>
  <c r="G64" i="2" s="1"/>
  <c r="I64" i="2"/>
  <c r="F64" i="2" l="1"/>
  <c r="E64" i="2"/>
  <c r="C65" i="2"/>
  <c r="B65" i="2" l="1"/>
  <c r="U66" i="2" s="1"/>
  <c r="I65" i="2"/>
  <c r="D65" i="2"/>
  <c r="H65" i="2" s="1"/>
  <c r="G65" i="2" s="1"/>
  <c r="F65" i="2" l="1"/>
  <c r="E65" i="2"/>
  <c r="C66" i="2"/>
  <c r="I66" i="2" l="1"/>
  <c r="D66" i="2"/>
  <c r="H66" i="2" s="1"/>
  <c r="G66" i="2" s="1"/>
  <c r="B66" i="2"/>
  <c r="U67" i="2" s="1"/>
  <c r="F66" i="2" l="1"/>
  <c r="E66" i="2"/>
  <c r="C67" i="2"/>
  <c r="D67" i="2" l="1"/>
  <c r="H67" i="2" s="1"/>
  <c r="G67" i="2" s="1"/>
  <c r="I67" i="2"/>
  <c r="B67" i="2"/>
  <c r="U68" i="2" s="1"/>
  <c r="F67" i="2" l="1"/>
  <c r="E67" i="2"/>
  <c r="C68" i="2"/>
  <c r="B68" i="2" l="1"/>
  <c r="U69" i="2" s="1"/>
  <c r="D68" i="2"/>
  <c r="H68" i="2" s="1"/>
  <c r="G68" i="2" s="1"/>
  <c r="I68" i="2"/>
  <c r="E68" i="2" l="1"/>
  <c r="F68" i="2" s="1"/>
  <c r="C69" i="2"/>
  <c r="B69" i="2" l="1"/>
  <c r="I69" i="2"/>
  <c r="D69" i="2"/>
  <c r="H69" i="2" s="1"/>
  <c r="G69" i="2" s="1"/>
  <c r="U70" i="2" l="1"/>
  <c r="E69" i="2"/>
  <c r="C70" i="2"/>
  <c r="Q69" i="2" l="1"/>
  <c r="F69" i="2" s="1"/>
  <c r="I70" i="2"/>
  <c r="D70" i="2"/>
  <c r="H70" i="2" s="1"/>
  <c r="G70" i="2" s="1"/>
  <c r="B70" i="2"/>
  <c r="U71" i="2" s="1"/>
  <c r="F70" i="2" l="1"/>
  <c r="E70" i="2"/>
  <c r="C71" i="2"/>
  <c r="D71" i="2" l="1"/>
  <c r="H71" i="2" s="1"/>
  <c r="G71" i="2" s="1"/>
  <c r="B71" i="2"/>
  <c r="U72" i="2" s="1"/>
  <c r="I71" i="2"/>
  <c r="F71" i="2" l="1"/>
  <c r="E71" i="2"/>
  <c r="C72" i="2"/>
  <c r="B72" i="2" l="1"/>
  <c r="U73" i="2" s="1"/>
  <c r="D72" i="2"/>
  <c r="H72" i="2" s="1"/>
  <c r="G72" i="2" s="1"/>
  <c r="I72" i="2"/>
  <c r="F72" i="2" l="1"/>
  <c r="E72" i="2"/>
  <c r="C73" i="2"/>
  <c r="I73" i="2" l="1"/>
  <c r="B73" i="2"/>
  <c r="U74" i="2" s="1"/>
  <c r="D73" i="2"/>
  <c r="H73" i="2" s="1"/>
  <c r="G73" i="2" s="1"/>
  <c r="F73" i="2" l="1"/>
  <c r="E73" i="2"/>
  <c r="C74" i="2"/>
  <c r="D74" i="2" l="1"/>
  <c r="H74" i="2" s="1"/>
  <c r="G74" i="2" s="1"/>
  <c r="I74" i="2"/>
  <c r="B74" i="2"/>
  <c r="U75" i="2" s="1"/>
  <c r="F74" i="2" l="1"/>
  <c r="E74" i="2"/>
  <c r="C75" i="2"/>
  <c r="B75" i="2" l="1"/>
  <c r="U76" i="2" s="1"/>
  <c r="D75" i="2"/>
  <c r="H75" i="2" s="1"/>
  <c r="G75" i="2" s="1"/>
  <c r="I75" i="2"/>
  <c r="F75" i="2" l="1"/>
  <c r="E75" i="2"/>
  <c r="C76" i="2"/>
  <c r="B76" i="2" l="1"/>
  <c r="U77" i="2" s="1"/>
  <c r="I76" i="2"/>
  <c r="D76" i="2"/>
  <c r="H76" i="2" s="1"/>
  <c r="G76" i="2" s="1"/>
  <c r="F76" i="2" l="1"/>
  <c r="E76" i="2"/>
  <c r="C77" i="2"/>
  <c r="I77" i="2" l="1"/>
  <c r="D77" i="2"/>
  <c r="H77" i="2" s="1"/>
  <c r="G77" i="2" s="1"/>
  <c r="B77" i="2"/>
  <c r="U78" i="2" s="1"/>
  <c r="F77" i="2" l="1"/>
  <c r="E77" i="2"/>
  <c r="C78" i="2"/>
  <c r="D78" i="2" l="1"/>
  <c r="H78" i="2" s="1"/>
  <c r="G78" i="2" s="1"/>
  <c r="B78" i="2"/>
  <c r="U79" i="2" s="1"/>
  <c r="I78" i="2"/>
  <c r="F78" i="2" l="1"/>
  <c r="E78" i="2"/>
  <c r="C79" i="2"/>
  <c r="B79" i="2" l="1"/>
  <c r="U80" i="2" s="1"/>
  <c r="I79" i="2"/>
  <c r="D79" i="2"/>
  <c r="H79" i="2" s="1"/>
  <c r="G79" i="2" s="1"/>
  <c r="F79" i="2" l="1"/>
  <c r="C80" i="2"/>
  <c r="E79" i="2"/>
  <c r="B80" i="2" l="1"/>
  <c r="I80" i="2"/>
  <c r="D80" i="2"/>
  <c r="H80" i="2" s="1"/>
  <c r="G80" i="2" s="1"/>
  <c r="U81" i="2" l="1"/>
  <c r="E80" i="2"/>
  <c r="F80" i="2" s="1"/>
  <c r="C81" i="2"/>
  <c r="I81" i="2" l="1"/>
  <c r="D81" i="2"/>
  <c r="H81" i="2" s="1"/>
  <c r="B81" i="2"/>
  <c r="G81" i="2" l="1"/>
  <c r="E81" i="2" s="1"/>
  <c r="Q81" i="2" s="1"/>
  <c r="F81" i="2" s="1"/>
  <c r="U82" i="2"/>
  <c r="C82" i="2"/>
  <c r="D82" i="2" l="1"/>
  <c r="H82" i="2" s="1"/>
  <c r="G82" i="2" s="1"/>
  <c r="I82" i="2"/>
  <c r="B82" i="2"/>
  <c r="U83" i="2" s="1"/>
  <c r="F82" i="2" l="1"/>
  <c r="E82" i="2"/>
  <c r="C83" i="2"/>
  <c r="B83" i="2" l="1"/>
  <c r="U84" i="2" s="1"/>
  <c r="D83" i="2"/>
  <c r="H83" i="2" s="1"/>
  <c r="G83" i="2" s="1"/>
  <c r="I83" i="2"/>
  <c r="F83" i="2" l="1"/>
  <c r="E83" i="2"/>
  <c r="C84" i="2"/>
  <c r="B84" i="2" l="1"/>
  <c r="U85" i="2" s="1"/>
  <c r="I84" i="2"/>
  <c r="D84" i="2"/>
  <c r="H84" i="2" s="1"/>
  <c r="G84" i="2" s="1"/>
  <c r="F84" i="2" l="1"/>
  <c r="E84" i="2"/>
  <c r="C85" i="2"/>
  <c r="I85" i="2" l="1"/>
  <c r="D85" i="2"/>
  <c r="H85" i="2" s="1"/>
  <c r="B85" i="2"/>
  <c r="U86" i="2" s="1"/>
  <c r="G85" i="2" l="1"/>
  <c r="E85" i="2" s="1"/>
  <c r="C86" i="2"/>
  <c r="F85" i="2" l="1"/>
  <c r="D86" i="2"/>
  <c r="H86" i="2" s="1"/>
  <c r="G86" i="2" s="1"/>
  <c r="B86" i="2"/>
  <c r="U87" i="2" s="1"/>
  <c r="I86" i="2"/>
  <c r="F86" i="2" l="1"/>
  <c r="E86" i="2"/>
  <c r="C87" i="2"/>
  <c r="B87" i="2" l="1"/>
  <c r="U88" i="2" s="1"/>
  <c r="I87" i="2"/>
  <c r="D87" i="2"/>
  <c r="H87" i="2" s="1"/>
  <c r="G87" i="2" s="1"/>
  <c r="F87" i="2" l="1"/>
  <c r="E87" i="2"/>
  <c r="C88" i="2"/>
  <c r="B88" i="2" l="1"/>
  <c r="U89" i="2" s="1"/>
  <c r="I88" i="2"/>
  <c r="D88" i="2"/>
  <c r="H88" i="2" s="1"/>
  <c r="G88" i="2" s="1"/>
  <c r="F88" i="2" l="1"/>
  <c r="E88" i="2"/>
  <c r="C89" i="2"/>
  <c r="I89" i="2" l="1"/>
  <c r="D89" i="2"/>
  <c r="H89" i="2" s="1"/>
  <c r="G89" i="2" s="1"/>
  <c r="B89" i="2"/>
  <c r="U90" i="2" s="1"/>
  <c r="F89" i="2" l="1"/>
  <c r="G3" i="2"/>
  <c r="E89" i="2"/>
  <c r="C90" i="2"/>
  <c r="D90" i="2" l="1"/>
  <c r="H90" i="2" s="1"/>
  <c r="G90" i="2" s="1"/>
  <c r="I90" i="2"/>
  <c r="B90" i="2"/>
  <c r="F90" i="2" l="1"/>
  <c r="C91" i="2"/>
  <c r="U91" i="2"/>
  <c r="E90" i="2"/>
  <c r="D91" i="2" l="1"/>
  <c r="H91" i="2" s="1"/>
  <c r="G91" i="2" s="1"/>
  <c r="B91" i="2"/>
  <c r="U92" i="2" s="1"/>
  <c r="I91" i="2"/>
  <c r="C92" i="2" l="1"/>
  <c r="F91" i="2"/>
  <c r="E91" i="2"/>
  <c r="D92" i="2" l="1"/>
  <c r="H92" i="2" s="1"/>
  <c r="G92" i="2" s="1"/>
  <c r="B92" i="2"/>
  <c r="C93" i="2" s="1"/>
  <c r="I92" i="2"/>
  <c r="I93" i="2" l="1"/>
  <c r="U93" i="2"/>
  <c r="E92" i="2"/>
  <c r="F92" i="2" s="1"/>
  <c r="D93" i="2"/>
  <c r="B93" i="2"/>
  <c r="U94" i="2" l="1"/>
  <c r="H93" i="2"/>
  <c r="G93" i="2" s="1"/>
  <c r="C94" i="2"/>
  <c r="B94" i="2" l="1"/>
  <c r="C95" i="2" s="1"/>
  <c r="I95" i="2" s="1"/>
  <c r="E93" i="2"/>
  <c r="Q93" i="2" s="1"/>
  <c r="F93" i="2" s="1"/>
  <c r="I94" i="2"/>
  <c r="D94" i="2"/>
  <c r="U95" i="2" l="1"/>
  <c r="B95" i="2"/>
  <c r="U96" i="2" s="1"/>
  <c r="D95" i="2"/>
  <c r="H94" i="2"/>
  <c r="C96" i="2" l="1"/>
  <c r="D96" i="2" s="1"/>
  <c r="G94" i="2"/>
  <c r="E94" i="2" s="1"/>
  <c r="B96" i="2" l="1"/>
  <c r="C97" i="2" s="1"/>
  <c r="D97" i="2" s="1"/>
  <c r="I96" i="2"/>
  <c r="H95" i="2"/>
  <c r="F94" i="2"/>
  <c r="B97" i="2" l="1"/>
  <c r="U98" i="2" s="1"/>
  <c r="I97" i="2"/>
  <c r="U97" i="2"/>
  <c r="G95" i="2"/>
  <c r="E95" i="2" s="1"/>
  <c r="C98" i="2" l="1"/>
  <c r="D98" i="2" s="1"/>
  <c r="H96" i="2"/>
  <c r="G96" i="2" s="1"/>
  <c r="F96" i="2" s="1"/>
  <c r="F95" i="2"/>
  <c r="I98" i="2" l="1"/>
  <c r="B98" i="2"/>
  <c r="U99" i="2" s="1"/>
  <c r="E96" i="2"/>
  <c r="H97" i="2" s="1"/>
  <c r="C99" i="2" l="1"/>
  <c r="D99" i="2" s="1"/>
  <c r="G97" i="2"/>
  <c r="F97" i="2" s="1"/>
  <c r="I99" i="2" l="1"/>
  <c r="B99" i="2"/>
  <c r="C100" i="2" s="1"/>
  <c r="I100" i="2" s="1"/>
  <c r="E97" i="2"/>
  <c r="U100" i="2" l="1"/>
  <c r="B100" i="2"/>
  <c r="C101" i="2" s="1"/>
  <c r="D100" i="2"/>
  <c r="H98" i="2"/>
  <c r="U101" i="2" l="1"/>
  <c r="G98" i="2"/>
  <c r="E98" i="2" s="1"/>
  <c r="H99" i="2" s="1"/>
  <c r="B101" i="2"/>
  <c r="I101" i="2"/>
  <c r="D101" i="2"/>
  <c r="G99" i="2" l="1"/>
  <c r="F99" i="2" s="1"/>
  <c r="F98" i="2"/>
  <c r="C102" i="2"/>
  <c r="U102" i="2"/>
  <c r="E99" i="2" l="1"/>
  <c r="H100" i="2" s="1"/>
  <c r="B102" i="2"/>
  <c r="D102" i="2"/>
  <c r="I102" i="2"/>
  <c r="G100" i="2" l="1"/>
  <c r="F100" i="2" s="1"/>
  <c r="C103" i="2"/>
  <c r="U103" i="2"/>
  <c r="E100" i="2" l="1"/>
  <c r="H101" i="2" s="1"/>
  <c r="D103" i="2"/>
  <c r="B103" i="2"/>
  <c r="I103" i="2"/>
  <c r="G101" i="2" l="1"/>
  <c r="F101" i="2" s="1"/>
  <c r="C104" i="2"/>
  <c r="U104" i="2"/>
  <c r="E101" i="2" l="1"/>
  <c r="H102" i="2" s="1"/>
  <c r="B104" i="2"/>
  <c r="I104" i="2"/>
  <c r="D104" i="2"/>
  <c r="G102" i="2" l="1"/>
  <c r="F102" i="2" s="1"/>
  <c r="C105" i="2"/>
  <c r="U105" i="2"/>
  <c r="E102" i="2" l="1"/>
  <c r="B105" i="2"/>
  <c r="I105" i="2"/>
  <c r="D105" i="2"/>
  <c r="H103" i="2" l="1"/>
  <c r="G103" i="2" s="1"/>
  <c r="F103" i="2" s="1"/>
  <c r="C106" i="2"/>
  <c r="U106" i="2"/>
  <c r="E103" i="2" l="1"/>
  <c r="H104" i="2" s="1"/>
  <c r="I106" i="2"/>
  <c r="D106" i="2"/>
  <c r="B106" i="2"/>
  <c r="G104" i="2" l="1"/>
  <c r="E104" i="2" s="1"/>
  <c r="C107" i="2"/>
  <c r="U107" i="2"/>
  <c r="F104" i="2" l="1"/>
  <c r="H105" i="2"/>
  <c r="G105" i="2" s="1"/>
  <c r="E105" i="2" s="1"/>
  <c r="B107" i="2"/>
  <c r="D107" i="2"/>
  <c r="I107" i="2"/>
  <c r="Q105" i="2" l="1"/>
  <c r="F105" i="2" s="1"/>
  <c r="H106" i="2"/>
  <c r="C108" i="2"/>
  <c r="U108" i="2"/>
  <c r="G106" i="2" l="1"/>
  <c r="F106" i="2" s="1"/>
  <c r="D108" i="2"/>
  <c r="B108" i="2"/>
  <c r="I108" i="2"/>
  <c r="E106" i="2" l="1"/>
  <c r="H107" i="2" s="1"/>
  <c r="C109" i="2"/>
  <c r="U109" i="2"/>
  <c r="G107" i="2" l="1"/>
  <c r="F107" i="2" s="1"/>
  <c r="B109" i="2"/>
  <c r="D109" i="2"/>
  <c r="I109" i="2"/>
  <c r="E107" i="2" l="1"/>
  <c r="U110" i="2"/>
  <c r="C110" i="2"/>
  <c r="H108" i="2" l="1"/>
  <c r="G108" i="2" s="1"/>
  <c r="F108" i="2" s="1"/>
  <c r="I110" i="2"/>
  <c r="D110" i="2"/>
  <c r="B110" i="2"/>
  <c r="E108" i="2" l="1"/>
  <c r="U111" i="2"/>
  <c r="C111" i="2"/>
  <c r="H109" i="2" l="1"/>
  <c r="G109" i="2" s="1"/>
  <c r="F109" i="2" s="1"/>
  <c r="B111" i="2"/>
  <c r="D111" i="2"/>
  <c r="I111" i="2"/>
  <c r="E109" i="2" l="1"/>
  <c r="C112" i="2"/>
  <c r="U112" i="2"/>
  <c r="H110" i="2" l="1"/>
  <c r="I112" i="2"/>
  <c r="D112" i="2"/>
  <c r="B112" i="2"/>
  <c r="G110" i="2" l="1"/>
  <c r="E110" i="2" s="1"/>
  <c r="C113" i="2"/>
  <c r="U113" i="2"/>
  <c r="H111" i="2" l="1"/>
  <c r="G111" i="2" s="1"/>
  <c r="F111" i="2" s="1"/>
  <c r="F110" i="2"/>
  <c r="I113" i="2"/>
  <c r="D113" i="2"/>
  <c r="B113" i="2"/>
  <c r="E111" i="2" l="1"/>
  <c r="C114" i="2"/>
  <c r="U114" i="2"/>
  <c r="H112" i="2" l="1"/>
  <c r="G112" i="2" s="1"/>
  <c r="F112" i="2" s="1"/>
  <c r="D114" i="2"/>
  <c r="B114" i="2"/>
  <c r="I114" i="2"/>
  <c r="E112" i="2" l="1"/>
  <c r="C115" i="2"/>
  <c r="U115" i="2"/>
  <c r="H113" i="2" l="1"/>
  <c r="G113" i="2" s="1"/>
  <c r="F113" i="2" s="1"/>
  <c r="D115" i="2"/>
  <c r="I115" i="2"/>
  <c r="B115" i="2"/>
  <c r="E113" i="2" l="1"/>
  <c r="U116" i="2"/>
  <c r="C116" i="2"/>
  <c r="H114" i="2" l="1"/>
  <c r="G114" i="2" s="1"/>
  <c r="F114" i="2" s="1"/>
  <c r="D116" i="2"/>
  <c r="B116" i="2"/>
  <c r="I116" i="2"/>
  <c r="E114" i="2" l="1"/>
  <c r="C117" i="2"/>
  <c r="U117" i="2"/>
  <c r="H115" i="2" l="1"/>
  <c r="G115" i="2" s="1"/>
  <c r="F115" i="2" s="1"/>
  <c r="B117" i="2"/>
  <c r="I117" i="2"/>
  <c r="D117" i="2"/>
  <c r="E115" i="2" l="1"/>
  <c r="H116" i="2" s="1"/>
  <c r="C118" i="2"/>
  <c r="U118" i="2"/>
  <c r="G116" i="2" l="1"/>
  <c r="F116" i="2" s="1"/>
  <c r="B118" i="2"/>
  <c r="I118" i="2"/>
  <c r="D118" i="2"/>
  <c r="E116" i="2" l="1"/>
  <c r="C119" i="2"/>
  <c r="U119" i="2"/>
  <c r="H117" i="2" l="1"/>
  <c r="G117" i="2" s="1"/>
  <c r="E117" i="2" s="1"/>
  <c r="B119" i="2"/>
  <c r="I119" i="2"/>
  <c r="D119" i="2"/>
  <c r="Q117" i="2" l="1"/>
  <c r="F117" i="2" s="1"/>
  <c r="H118" i="2"/>
  <c r="G118" i="2" s="1"/>
  <c r="F118" i="2" s="1"/>
  <c r="C120" i="2"/>
  <c r="U120" i="2"/>
  <c r="E118" i="2" l="1"/>
  <c r="H119" i="2" s="1"/>
  <c r="I120" i="2"/>
  <c r="B120" i="2"/>
  <c r="D120" i="2"/>
  <c r="G119" i="2" l="1"/>
  <c r="F119" i="2" s="1"/>
  <c r="C121" i="2"/>
  <c r="U121" i="2"/>
  <c r="E119" i="2" l="1"/>
  <c r="D121" i="2"/>
  <c r="B121" i="2"/>
  <c r="I121" i="2"/>
  <c r="H120" i="2" l="1"/>
  <c r="G120" i="2" s="1"/>
  <c r="F120" i="2" s="1"/>
  <c r="C122" i="2"/>
  <c r="U122" i="2"/>
  <c r="E120" i="2" l="1"/>
  <c r="H121" i="2" s="1"/>
  <c r="I122" i="2"/>
  <c r="D122" i="2"/>
  <c r="B122" i="2"/>
  <c r="G121" i="2" l="1"/>
  <c r="F121" i="2" s="1"/>
  <c r="C123" i="2"/>
  <c r="U123" i="2"/>
  <c r="E121" i="2" l="1"/>
  <c r="H122" i="2" s="1"/>
  <c r="I123" i="2"/>
  <c r="B123" i="2"/>
  <c r="D123" i="2"/>
  <c r="G122" i="2" l="1"/>
  <c r="F122" i="2" s="1"/>
  <c r="C124" i="2"/>
  <c r="U124" i="2"/>
  <c r="E122" i="2" l="1"/>
  <c r="D124" i="2"/>
  <c r="I124" i="2"/>
  <c r="B124" i="2"/>
  <c r="H123" i="2" l="1"/>
  <c r="G123" i="2" s="1"/>
  <c r="F123" i="2" s="1"/>
  <c r="C125" i="2"/>
  <c r="U125" i="2"/>
  <c r="E123" i="2" l="1"/>
  <c r="H124" i="2" s="1"/>
  <c r="I125" i="2"/>
  <c r="D125" i="2"/>
  <c r="B125" i="2"/>
  <c r="G124" i="2" l="1"/>
  <c r="F124" i="2" s="1"/>
  <c r="U126" i="2"/>
  <c r="C126" i="2"/>
  <c r="E124" i="2" l="1"/>
  <c r="B126" i="2"/>
  <c r="D126" i="2"/>
  <c r="I126" i="2"/>
  <c r="H125" i="2" l="1"/>
  <c r="G125" i="2" s="1"/>
  <c r="F125" i="2" s="1"/>
  <c r="U127" i="2"/>
  <c r="C127" i="2"/>
  <c r="E125" i="2" l="1"/>
  <c r="H126" i="2" s="1"/>
  <c r="I127" i="2"/>
  <c r="D127" i="2"/>
  <c r="B127" i="2"/>
  <c r="G126" i="2" l="1"/>
  <c r="F126" i="2" s="1"/>
  <c r="U128" i="2"/>
  <c r="C128" i="2"/>
  <c r="E126" i="2" l="1"/>
  <c r="H127" i="2" s="1"/>
  <c r="I128" i="2"/>
  <c r="D128" i="2"/>
  <c r="B128" i="2"/>
  <c r="G127" i="2" l="1"/>
  <c r="F127" i="2" s="1"/>
  <c r="U129" i="2"/>
  <c r="C129" i="2"/>
  <c r="E127" i="2" l="1"/>
  <c r="H128" i="2" s="1"/>
  <c r="I129" i="2"/>
  <c r="D129" i="2"/>
  <c r="B129" i="2"/>
  <c r="G128" i="2" l="1"/>
  <c r="E128" i="2" s="1"/>
  <c r="U130" i="2"/>
  <c r="C130" i="2"/>
  <c r="F128" i="2" l="1"/>
  <c r="H129" i="2"/>
  <c r="G129" i="2" s="1"/>
  <c r="E129" i="2" s="1"/>
  <c r="Q129" i="2" s="1"/>
  <c r="F129" i="2" s="1"/>
  <c r="I130" i="2"/>
  <c r="B130" i="2"/>
  <c r="D130" i="2"/>
  <c r="H130" i="2" l="1"/>
  <c r="G130" i="2" s="1"/>
  <c r="F130" i="2" s="1"/>
  <c r="U131" i="2"/>
  <c r="C131" i="2"/>
  <c r="E130" i="2" l="1"/>
  <c r="I131" i="2"/>
  <c r="D131" i="2"/>
  <c r="B131" i="2"/>
  <c r="H131" i="2" l="1"/>
  <c r="G131" i="2" s="1"/>
  <c r="F131" i="2" s="1"/>
  <c r="U132" i="2"/>
  <c r="C132" i="2"/>
  <c r="E131" i="2" l="1"/>
  <c r="I132" i="2"/>
  <c r="D132" i="2"/>
  <c r="B132" i="2"/>
  <c r="H132" i="2" l="1"/>
  <c r="G132" i="2" s="1"/>
  <c r="F132" i="2" s="1"/>
  <c r="U133" i="2"/>
  <c r="C133" i="2"/>
  <c r="E132" i="2" l="1"/>
  <c r="I133" i="2"/>
  <c r="B133" i="2"/>
  <c r="D133" i="2"/>
  <c r="H133" i="2" l="1"/>
  <c r="U134" i="2"/>
  <c r="C134" i="2"/>
  <c r="G133" i="2" l="1"/>
  <c r="E133" i="2" s="1"/>
  <c r="I134" i="2"/>
  <c r="D134" i="2"/>
  <c r="B134" i="2"/>
  <c r="F133" i="2" l="1"/>
  <c r="H134" i="2"/>
  <c r="U135" i="2"/>
  <c r="C135" i="2"/>
  <c r="G134" i="2" l="1"/>
  <c r="F134" i="2" s="1"/>
  <c r="D135" i="2"/>
  <c r="B135" i="2"/>
  <c r="I135" i="2"/>
  <c r="E134" i="2" l="1"/>
  <c r="H135" i="2" s="1"/>
  <c r="G135" i="2" s="1"/>
  <c r="U136" i="2"/>
  <c r="C136" i="2"/>
  <c r="E135" i="2" l="1"/>
  <c r="F135" i="2"/>
  <c r="D136" i="2"/>
  <c r="B136" i="2"/>
  <c r="I136" i="2"/>
  <c r="H136" i="2" l="1"/>
  <c r="G136" i="2" s="1"/>
  <c r="F136" i="2" s="1"/>
  <c r="U137" i="2"/>
  <c r="C137" i="2"/>
  <c r="K18" i="1"/>
  <c r="F18" i="1" s="1"/>
  <c r="E136" i="2" l="1"/>
  <c r="D137" i="2"/>
  <c r="B137" i="2"/>
  <c r="I137" i="2"/>
  <c r="U21" i="1"/>
  <c r="H137" i="2" l="1"/>
  <c r="G137" i="2" s="1"/>
  <c r="F137" i="2" s="1"/>
  <c r="U138" i="2"/>
  <c r="C138" i="2"/>
  <c r="C18" i="1"/>
  <c r="C19" i="1" s="1"/>
  <c r="I19" i="1" l="1"/>
  <c r="V19" i="1"/>
  <c r="W19" i="1" s="1"/>
  <c r="E137" i="2"/>
  <c r="B138" i="2"/>
  <c r="I138" i="2"/>
  <c r="D138" i="2"/>
  <c r="D19" i="1"/>
  <c r="C20" i="1"/>
  <c r="H19" i="1" l="1"/>
  <c r="G19" i="1" s="1"/>
  <c r="I20" i="1"/>
  <c r="V20" i="1"/>
  <c r="W20" i="1" s="1"/>
  <c r="H138" i="2"/>
  <c r="G138" i="2" s="1"/>
  <c r="E138" i="2" s="1"/>
  <c r="U139" i="2"/>
  <c r="C139" i="2"/>
  <c r="D20" i="1"/>
  <c r="C21" i="1"/>
  <c r="I21" i="1" l="1"/>
  <c r="V21" i="1"/>
  <c r="W21" i="1" s="1"/>
  <c r="F138" i="2"/>
  <c r="D139" i="2"/>
  <c r="H139" i="2" s="1"/>
  <c r="G139" i="2" s="1"/>
  <c r="B139" i="2"/>
  <c r="I139" i="2"/>
  <c r="F19" i="1"/>
  <c r="D21" i="1"/>
  <c r="B21" i="1"/>
  <c r="U22" i="1" s="1"/>
  <c r="F139" i="2" l="1"/>
  <c r="E139" i="2"/>
  <c r="U140" i="2"/>
  <c r="C140" i="2"/>
  <c r="C22" i="1"/>
  <c r="I22" i="1" l="1"/>
  <c r="V22" i="1"/>
  <c r="W22" i="1" s="1"/>
  <c r="D140" i="2"/>
  <c r="H140" i="2" s="1"/>
  <c r="G140" i="2" s="1"/>
  <c r="B140" i="2"/>
  <c r="I140" i="2"/>
  <c r="D22" i="1"/>
  <c r="B22" i="1"/>
  <c r="U23" i="1" s="1"/>
  <c r="E140" i="2" l="1"/>
  <c r="F140" i="2"/>
  <c r="T20" i="2" s="1"/>
  <c r="C23" i="1"/>
  <c r="V23" i="1" s="1"/>
  <c r="W23" i="1" s="1"/>
  <c r="U141" i="2" l="1"/>
  <c r="S20" i="2" s="1"/>
  <c r="D23" i="1"/>
  <c r="I23" i="1"/>
  <c r="B23" i="1"/>
  <c r="U24" i="1" s="1"/>
  <c r="C24" i="1" l="1"/>
  <c r="I24" i="1" l="1"/>
  <c r="V24" i="1"/>
  <c r="W24" i="1" s="1"/>
  <c r="D24" i="1"/>
  <c r="B24" i="1"/>
  <c r="C25" i="1" s="1"/>
  <c r="V25" i="1" s="1"/>
  <c r="W25" i="1" s="1"/>
  <c r="I25" i="1" l="1"/>
  <c r="D25" i="1"/>
  <c r="B25" i="1"/>
  <c r="U26" i="1" s="1"/>
  <c r="C26" i="1" l="1"/>
  <c r="I26" i="1" l="1"/>
  <c r="V26" i="1"/>
  <c r="W26" i="1" s="1"/>
  <c r="D26" i="1"/>
  <c r="B26" i="1"/>
  <c r="U27" i="1" s="1"/>
  <c r="C27" i="1" l="1"/>
  <c r="V27" i="1" s="1"/>
  <c r="W27" i="1" s="1"/>
  <c r="I27" i="1" l="1"/>
  <c r="D27" i="1"/>
  <c r="B27" i="1"/>
  <c r="C28" i="1" l="1"/>
  <c r="V28" i="1" s="1"/>
  <c r="W28" i="1" s="1"/>
  <c r="I28" i="1" l="1"/>
  <c r="D28" i="1"/>
  <c r="B28" i="1"/>
  <c r="U29" i="1" s="1"/>
  <c r="C29" i="1" l="1"/>
  <c r="V29" i="1" s="1"/>
  <c r="W29" i="1" s="1"/>
  <c r="I29" i="1" l="1"/>
  <c r="D29" i="1"/>
  <c r="B29" i="1"/>
  <c r="U30" i="1" s="1"/>
  <c r="C30" i="1" l="1"/>
  <c r="V30" i="1" s="1"/>
  <c r="W30" i="1" s="1"/>
  <c r="I30" i="1" l="1"/>
  <c r="D30" i="1"/>
  <c r="B30" i="1"/>
  <c r="C31" i="1" l="1"/>
  <c r="V31" i="1" s="1"/>
  <c r="W31" i="1" s="1"/>
  <c r="D31" i="1" l="1"/>
  <c r="I31" i="1"/>
  <c r="B31" i="1"/>
  <c r="C32" i="1" l="1"/>
  <c r="V32" i="1" s="1"/>
  <c r="W32" i="1" s="1"/>
  <c r="I32" i="1" l="1"/>
  <c r="D32" i="1"/>
  <c r="B32" i="1"/>
  <c r="U33" i="1" s="1"/>
  <c r="C33" i="1" l="1"/>
  <c r="V33" i="1" s="1"/>
  <c r="W33" i="1" s="1"/>
  <c r="I33" i="1" l="1"/>
  <c r="D33" i="1"/>
  <c r="B33" i="1"/>
  <c r="U34" i="1" s="1"/>
  <c r="C34" i="1" l="1"/>
  <c r="V34" i="1" s="1"/>
  <c r="W34" i="1" s="1"/>
  <c r="I34" i="1" l="1"/>
  <c r="D34" i="1"/>
  <c r="B34" i="1"/>
  <c r="C35" i="1" l="1"/>
  <c r="V35" i="1" s="1"/>
  <c r="W35" i="1" s="1"/>
  <c r="I35" i="1" l="1"/>
  <c r="D35" i="1"/>
  <c r="B35" i="1"/>
  <c r="U36" i="1" s="1"/>
  <c r="C36" i="1" l="1"/>
  <c r="V36" i="1" s="1"/>
  <c r="W36" i="1" s="1"/>
  <c r="I36" i="1" l="1"/>
  <c r="D36" i="1"/>
  <c r="B36" i="1"/>
  <c r="U37" i="1" s="1"/>
  <c r="C37" i="1" l="1"/>
  <c r="V37" i="1" s="1"/>
  <c r="W37" i="1" s="1"/>
  <c r="I37" i="1" l="1"/>
  <c r="D37" i="1"/>
  <c r="B37" i="1"/>
  <c r="U38" i="1" s="1"/>
  <c r="C38" i="1" l="1"/>
  <c r="V38" i="1" s="1"/>
  <c r="W38" i="1" s="1"/>
  <c r="I38" i="1" l="1"/>
  <c r="D38" i="1"/>
  <c r="B38" i="1"/>
  <c r="U39" i="1" s="1"/>
  <c r="C39" i="1" l="1"/>
  <c r="V39" i="1" s="1"/>
  <c r="W39" i="1" s="1"/>
  <c r="I39" i="1" l="1"/>
  <c r="D39" i="1"/>
  <c r="B39" i="1"/>
  <c r="U40" i="1" s="1"/>
  <c r="C40" i="1" l="1"/>
  <c r="V40" i="1" s="1"/>
  <c r="W40" i="1" s="1"/>
  <c r="I40" i="1" l="1"/>
  <c r="D40" i="1"/>
  <c r="B40" i="1"/>
  <c r="U41" i="1" s="1"/>
  <c r="C41" i="1" l="1"/>
  <c r="V41" i="1" s="1"/>
  <c r="W41" i="1" s="1"/>
  <c r="I41" i="1" l="1"/>
  <c r="D41" i="1"/>
  <c r="B41" i="1"/>
  <c r="U42" i="1" s="1"/>
  <c r="C42" i="1" l="1"/>
  <c r="V42" i="1" s="1"/>
  <c r="W42" i="1" s="1"/>
  <c r="I42" i="1" l="1"/>
  <c r="D42" i="1"/>
  <c r="B42" i="1"/>
  <c r="C43" i="1" l="1"/>
  <c r="V43" i="1" s="1"/>
  <c r="W43" i="1" s="1"/>
  <c r="I43" i="1" l="1"/>
  <c r="D43" i="1"/>
  <c r="B43" i="1"/>
  <c r="C44" i="1" l="1"/>
  <c r="V44" i="1" s="1"/>
  <c r="W44" i="1" s="1"/>
  <c r="I44" i="1" l="1"/>
  <c r="B44" i="1"/>
  <c r="U45" i="1" s="1"/>
  <c r="D44" i="1"/>
  <c r="C45" i="1" l="1"/>
  <c r="V45" i="1" s="1"/>
  <c r="W45" i="1" s="1"/>
  <c r="I45" i="1" l="1"/>
  <c r="D45" i="1"/>
  <c r="B45" i="1"/>
  <c r="C46" i="1" l="1"/>
  <c r="V46" i="1" s="1"/>
  <c r="W46" i="1" s="1"/>
  <c r="I46" i="1" l="1"/>
  <c r="B46" i="1"/>
  <c r="U47" i="1" s="1"/>
  <c r="D46" i="1"/>
  <c r="C47" i="1" l="1"/>
  <c r="V47" i="1" s="1"/>
  <c r="W47" i="1" s="1"/>
  <c r="I47" i="1" l="1"/>
  <c r="D47" i="1"/>
  <c r="B47" i="1"/>
  <c r="U48" i="1" s="1"/>
  <c r="C48" i="1" l="1"/>
  <c r="V48" i="1" s="1"/>
  <c r="W48" i="1" s="1"/>
  <c r="I48" i="1" l="1"/>
  <c r="B48" i="1"/>
  <c r="U49" i="1" s="1"/>
  <c r="D48" i="1"/>
  <c r="C49" i="1" l="1"/>
  <c r="V49" i="1" s="1"/>
  <c r="W49" i="1" s="1"/>
  <c r="I49" i="1" l="1"/>
  <c r="D49" i="1"/>
  <c r="B49" i="1"/>
  <c r="U50" i="1" s="1"/>
  <c r="C50" i="1" l="1"/>
  <c r="V50" i="1" s="1"/>
  <c r="W50" i="1" s="1"/>
  <c r="I50" i="1" l="1"/>
  <c r="B50" i="1"/>
  <c r="U51" i="1" s="1"/>
  <c r="D50" i="1"/>
  <c r="C51" i="1" l="1"/>
  <c r="V51" i="1" s="1"/>
  <c r="W51" i="1" s="1"/>
  <c r="I51" i="1" l="1"/>
  <c r="D51" i="1"/>
  <c r="B51" i="1"/>
  <c r="U52" i="1" s="1"/>
  <c r="C52" i="1" l="1"/>
  <c r="V52" i="1" s="1"/>
  <c r="W52" i="1" s="1"/>
  <c r="I52" i="1" l="1"/>
  <c r="B52" i="1"/>
  <c r="U53" i="1" s="1"/>
  <c r="D52" i="1"/>
  <c r="C53" i="1" l="1"/>
  <c r="V53" i="1" s="1"/>
  <c r="W53" i="1" s="1"/>
  <c r="I53" i="1" l="1"/>
  <c r="D53" i="1"/>
  <c r="B53" i="1"/>
  <c r="U54" i="1" s="1"/>
  <c r="C54" i="1" l="1"/>
  <c r="V54" i="1" s="1"/>
  <c r="W54" i="1" s="1"/>
  <c r="I54" i="1" l="1"/>
  <c r="B54" i="1"/>
  <c r="D54" i="1"/>
  <c r="C55" i="1" l="1"/>
  <c r="V55" i="1" s="1"/>
  <c r="W55" i="1" s="1"/>
  <c r="I55" i="1" l="1"/>
  <c r="B55" i="1"/>
  <c r="D55" i="1"/>
  <c r="C56" i="1" l="1"/>
  <c r="V56" i="1" s="1"/>
  <c r="W56" i="1" s="1"/>
  <c r="I56" i="1" l="1"/>
  <c r="D56" i="1"/>
  <c r="B56" i="1"/>
  <c r="U57" i="1" s="1"/>
  <c r="C57" i="1" l="1"/>
  <c r="V57" i="1" s="1"/>
  <c r="W57" i="1" s="1"/>
  <c r="I57" i="1" l="1"/>
  <c r="D57" i="1"/>
  <c r="B57" i="1"/>
  <c r="C58" i="1" l="1"/>
  <c r="V58" i="1" s="1"/>
  <c r="W58" i="1" s="1"/>
  <c r="I58" i="1" l="1"/>
  <c r="B58" i="1"/>
  <c r="U59" i="1" s="1"/>
  <c r="D58" i="1"/>
  <c r="C59" i="1" l="1"/>
  <c r="V59" i="1" s="1"/>
  <c r="W59" i="1" s="1"/>
  <c r="I59" i="1" l="1"/>
  <c r="D59" i="1"/>
  <c r="B59" i="1"/>
  <c r="U60" i="1" s="1"/>
  <c r="C60" i="1" l="1"/>
  <c r="V60" i="1" s="1"/>
  <c r="W60" i="1" s="1"/>
  <c r="I60" i="1" l="1"/>
  <c r="B60" i="1"/>
  <c r="U61" i="1" s="1"/>
  <c r="D60" i="1"/>
  <c r="C61" i="1" l="1"/>
  <c r="V61" i="1" s="1"/>
  <c r="W61" i="1" s="1"/>
  <c r="I61" i="1" l="1"/>
  <c r="B61" i="1"/>
  <c r="U62" i="1" s="1"/>
  <c r="D61" i="1"/>
  <c r="C62" i="1" l="1"/>
  <c r="V62" i="1" s="1"/>
  <c r="W62" i="1" s="1"/>
  <c r="I62" i="1" l="1"/>
  <c r="D62" i="1"/>
  <c r="B62" i="1"/>
  <c r="U63" i="1" s="1"/>
  <c r="C63" i="1" l="1"/>
  <c r="V63" i="1" s="1"/>
  <c r="W63" i="1" s="1"/>
  <c r="I63" i="1" l="1"/>
  <c r="D63" i="1"/>
  <c r="B63" i="1"/>
  <c r="U64" i="1" s="1"/>
  <c r="C64" i="1" l="1"/>
  <c r="V64" i="1" s="1"/>
  <c r="W64" i="1" s="1"/>
  <c r="I64" i="1" l="1"/>
  <c r="D64" i="1"/>
  <c r="B64" i="1"/>
  <c r="U65" i="1" s="1"/>
  <c r="C65" i="1" l="1"/>
  <c r="V65" i="1" s="1"/>
  <c r="W65" i="1" s="1"/>
  <c r="I65" i="1" l="1"/>
  <c r="B65" i="1"/>
  <c r="U66" i="1" s="1"/>
  <c r="D65" i="1"/>
  <c r="C66" i="1" l="1"/>
  <c r="V66" i="1" s="1"/>
  <c r="W66" i="1" s="1"/>
  <c r="I66" i="1" l="1"/>
  <c r="D66" i="1"/>
  <c r="B66" i="1"/>
  <c r="C67" i="1" l="1"/>
  <c r="V67" i="1" s="1"/>
  <c r="W67" i="1" s="1"/>
  <c r="I67" i="1" l="1"/>
  <c r="D67" i="1"/>
  <c r="B67" i="1"/>
  <c r="C68" i="1" l="1"/>
  <c r="V68" i="1" s="1"/>
  <c r="W68" i="1" s="1"/>
  <c r="I68" i="1" l="1"/>
  <c r="D68" i="1"/>
  <c r="B68" i="1"/>
  <c r="U69" i="1" s="1"/>
  <c r="C69" i="1" l="1"/>
  <c r="V69" i="1" s="1"/>
  <c r="W69" i="1" s="1"/>
  <c r="I69" i="1" l="1"/>
  <c r="D69" i="1"/>
  <c r="B69" i="1"/>
  <c r="C70" i="1" l="1"/>
  <c r="I70" i="1" l="1"/>
  <c r="V70" i="1"/>
  <c r="W70" i="1" s="1"/>
  <c r="D70" i="1"/>
  <c r="B70" i="1"/>
  <c r="U71" i="1" s="1"/>
  <c r="C71" i="1" l="1"/>
  <c r="I71" i="1" l="1"/>
  <c r="V71" i="1"/>
  <c r="W71" i="1" s="1"/>
  <c r="D71" i="1"/>
  <c r="B71" i="1"/>
  <c r="U72" i="1" s="1"/>
  <c r="C72" i="1" l="1"/>
  <c r="I72" i="1" l="1"/>
  <c r="V72" i="1"/>
  <c r="W72" i="1" s="1"/>
  <c r="B72" i="1"/>
  <c r="U73" i="1" s="1"/>
  <c r="D72" i="1"/>
  <c r="C73" i="1" l="1"/>
  <c r="I73" i="1" l="1"/>
  <c r="V73" i="1"/>
  <c r="W73" i="1" s="1"/>
  <c r="D73" i="1"/>
  <c r="B73" i="1"/>
  <c r="U74" i="1" s="1"/>
  <c r="C74" i="1" l="1"/>
  <c r="I74" i="1" l="1"/>
  <c r="V74" i="1"/>
  <c r="W74" i="1" s="1"/>
  <c r="B74" i="1"/>
  <c r="U75" i="1" s="1"/>
  <c r="D74" i="1"/>
  <c r="C75" i="1" l="1"/>
  <c r="I75" i="1" l="1"/>
  <c r="V75" i="1"/>
  <c r="W75" i="1" s="1"/>
  <c r="D75" i="1"/>
  <c r="B75" i="1"/>
  <c r="U76" i="1" s="1"/>
  <c r="C76" i="1" l="1"/>
  <c r="I76" i="1" l="1"/>
  <c r="V76" i="1"/>
  <c r="W76" i="1" s="1"/>
  <c r="D76" i="1"/>
  <c r="B76" i="1"/>
  <c r="U77" i="1" s="1"/>
  <c r="C77" i="1" l="1"/>
  <c r="I77" i="1" l="1"/>
  <c r="V77" i="1"/>
  <c r="W77" i="1" s="1"/>
  <c r="D77" i="1"/>
  <c r="B77" i="1"/>
  <c r="U78" i="1" s="1"/>
  <c r="C78" i="1" l="1"/>
  <c r="I78" i="1" l="1"/>
  <c r="V78" i="1"/>
  <c r="W78" i="1" s="1"/>
  <c r="D78" i="1"/>
  <c r="B78" i="1"/>
  <c r="C79" i="1" l="1"/>
  <c r="I79" i="1" l="1"/>
  <c r="V79" i="1"/>
  <c r="W79" i="1" s="1"/>
  <c r="D79" i="1"/>
  <c r="B79" i="1"/>
  <c r="U80" i="1" s="1"/>
  <c r="C80" i="1" l="1"/>
  <c r="I80" i="1" l="1"/>
  <c r="V80" i="1"/>
  <c r="W80" i="1" s="1"/>
  <c r="B80" i="1"/>
  <c r="U81" i="1" s="1"/>
  <c r="D80" i="1"/>
  <c r="C81" i="1" l="1"/>
  <c r="I81" i="1" l="1"/>
  <c r="V81" i="1"/>
  <c r="W81" i="1" s="1"/>
  <c r="D81" i="1"/>
  <c r="B81" i="1"/>
  <c r="C82" i="1" l="1"/>
  <c r="I82" i="1" l="1"/>
  <c r="V82" i="1"/>
  <c r="W82" i="1" s="1"/>
  <c r="D82" i="1"/>
  <c r="B82" i="1"/>
  <c r="U83" i="1" s="1"/>
  <c r="C83" i="1" l="1"/>
  <c r="I83" i="1" l="1"/>
  <c r="V83" i="1"/>
  <c r="W83" i="1" s="1"/>
  <c r="D83" i="1"/>
  <c r="B83" i="1"/>
  <c r="U84" i="1" s="1"/>
  <c r="C84" i="1" l="1"/>
  <c r="I84" i="1" l="1"/>
  <c r="V84" i="1"/>
  <c r="W84" i="1" s="1"/>
  <c r="D84" i="1"/>
  <c r="B84" i="1"/>
  <c r="C85" i="1" l="1"/>
  <c r="I85" i="1" l="1"/>
  <c r="V85" i="1"/>
  <c r="W85" i="1" s="1"/>
  <c r="D85" i="1"/>
  <c r="B85" i="1"/>
  <c r="U86" i="1" s="1"/>
  <c r="C86" i="1" l="1"/>
  <c r="I86" i="1" l="1"/>
  <c r="V86" i="1"/>
  <c r="W86" i="1" s="1"/>
  <c r="B86" i="1"/>
  <c r="U87" i="1" s="1"/>
  <c r="D86" i="1"/>
  <c r="C87" i="1" l="1"/>
  <c r="I87" i="1" s="1"/>
  <c r="D87" i="1" l="1"/>
  <c r="B87" i="1"/>
  <c r="C88" i="1" l="1"/>
  <c r="I88" i="1" l="1"/>
  <c r="B88" i="1"/>
  <c r="D88" i="1"/>
  <c r="C89" i="1" l="1"/>
  <c r="I89" i="1" s="1"/>
  <c r="B89" i="1" l="1"/>
  <c r="U89" i="1" s="1"/>
  <c r="D89" i="1"/>
  <c r="E19" i="1" l="1"/>
  <c r="H20" i="1" l="1"/>
  <c r="G20" i="1" s="1"/>
  <c r="F20" i="1" s="1"/>
  <c r="E20" i="1" l="1"/>
  <c r="H21" i="1" l="1"/>
  <c r="G21" i="1" s="1"/>
  <c r="E21" i="1" s="1"/>
  <c r="H22" i="1" l="1"/>
  <c r="G22" i="1" s="1"/>
  <c r="F21" i="1"/>
  <c r="U25" i="1"/>
  <c r="F22" i="1" l="1"/>
  <c r="E22" i="1"/>
  <c r="H23" i="1" l="1"/>
  <c r="G23" i="1" s="1"/>
  <c r="F23" i="1" l="1"/>
  <c r="E23" i="1"/>
  <c r="H24" i="1" l="1"/>
  <c r="G24" i="1" s="1"/>
  <c r="F24" i="1" s="1"/>
  <c r="U28" i="1"/>
  <c r="E24" i="1" l="1"/>
  <c r="H25" i="1" l="1"/>
  <c r="G25" i="1" s="1"/>
  <c r="F25" i="1" s="1"/>
  <c r="E25" i="1" l="1"/>
  <c r="H26" i="1" l="1"/>
  <c r="G26" i="1" s="1"/>
  <c r="F26" i="1" s="1"/>
  <c r="E26" i="1" l="1"/>
  <c r="H27" i="1" l="1"/>
  <c r="G27" i="1" s="1"/>
  <c r="F27" i="1" s="1"/>
  <c r="E27" i="1" l="1"/>
  <c r="H28" i="1" l="1"/>
  <c r="G28" i="1" s="1"/>
  <c r="F28" i="1" s="1"/>
  <c r="E28" i="1" l="1"/>
  <c r="H29" i="1" l="1"/>
  <c r="G29" i="1" s="1"/>
  <c r="F29" i="1" l="1"/>
  <c r="U31" i="1" s="1"/>
  <c r="E29" i="1"/>
  <c r="H30" i="1" l="1"/>
  <c r="G30" i="1" s="1"/>
  <c r="F30" i="1" s="1"/>
  <c r="E30" i="1" l="1"/>
  <c r="H31" i="1" l="1"/>
  <c r="G31" i="1" s="1"/>
  <c r="E31" i="1" l="1"/>
  <c r="H32" i="1" s="1"/>
  <c r="F31" i="1"/>
  <c r="U32" i="1" s="1"/>
  <c r="G32" i="1" l="1"/>
  <c r="F32" i="1" l="1"/>
  <c r="E32" i="1"/>
  <c r="H33" i="1" s="1"/>
  <c r="G33" i="1" l="1"/>
  <c r="F33" i="1" l="1"/>
  <c r="E33" i="1"/>
  <c r="H34" i="1" s="1"/>
  <c r="G34" i="1" l="1"/>
  <c r="F34" i="1" s="1"/>
  <c r="U35" i="1" s="1"/>
  <c r="U43" i="1"/>
  <c r="E34" i="1" l="1"/>
  <c r="H35" i="1" s="1"/>
  <c r="G35" i="1" l="1"/>
  <c r="F35" i="1" s="1"/>
  <c r="E35" i="1" l="1"/>
  <c r="H36" i="1" s="1"/>
  <c r="G36" i="1" l="1"/>
  <c r="F36" i="1" l="1"/>
  <c r="E36" i="1"/>
  <c r="H37" i="1" s="1"/>
  <c r="G37" i="1" l="1"/>
  <c r="F37" i="1" s="1"/>
  <c r="E37" i="1" l="1"/>
  <c r="H38" i="1" s="1"/>
  <c r="G38" i="1" l="1"/>
  <c r="E38" i="1" l="1"/>
  <c r="H39" i="1" s="1"/>
  <c r="F38" i="1"/>
  <c r="G39" i="1" l="1"/>
  <c r="F39" i="1" s="1"/>
  <c r="E39" i="1" l="1"/>
  <c r="H40" i="1" s="1"/>
  <c r="G40" i="1" l="1"/>
  <c r="F40" i="1" s="1"/>
  <c r="E40" i="1" l="1"/>
  <c r="H41" i="1" s="1"/>
  <c r="G41" i="1" l="1"/>
  <c r="E41" i="1" l="1"/>
  <c r="H42" i="1" s="1"/>
  <c r="F41" i="1"/>
  <c r="G42" i="1" l="1"/>
  <c r="F42" i="1" l="1"/>
  <c r="E42" i="1"/>
  <c r="H43" i="1" s="1"/>
  <c r="U55" i="1"/>
  <c r="G43" i="1" l="1"/>
  <c r="F43" i="1" l="1"/>
  <c r="U44" i="1" s="1"/>
  <c r="E43" i="1"/>
  <c r="H44" i="1" s="1"/>
  <c r="G44" i="1" l="1"/>
  <c r="F44" i="1" s="1"/>
  <c r="E44" i="1" l="1"/>
  <c r="H45" i="1" s="1"/>
  <c r="G45" i="1" l="1"/>
  <c r="F45" i="1" s="1"/>
  <c r="U46" i="1" s="1"/>
  <c r="E45" i="1" l="1"/>
  <c r="H46" i="1" s="1"/>
  <c r="G46" i="1" l="1"/>
  <c r="E46" i="1" l="1"/>
  <c r="H47" i="1" s="1"/>
  <c r="F46" i="1"/>
  <c r="G47" i="1" l="1"/>
  <c r="F47" i="1" s="1"/>
  <c r="E47" i="1" l="1"/>
  <c r="H48" i="1" s="1"/>
  <c r="E70" i="1"/>
  <c r="H71" i="1" s="1"/>
  <c r="G71" i="1" s="1"/>
  <c r="F71" i="1" s="1"/>
  <c r="G48" i="1" l="1"/>
  <c r="F48" i="1" s="1"/>
  <c r="E71" i="1"/>
  <c r="H72" i="1" s="1"/>
  <c r="G72" i="1" s="1"/>
  <c r="F72" i="1" s="1"/>
  <c r="E48" i="1" l="1"/>
  <c r="H49" i="1" s="1"/>
  <c r="E72" i="1"/>
  <c r="H73" i="1" s="1"/>
  <c r="G73" i="1" s="1"/>
  <c r="F73" i="1" s="1"/>
  <c r="G49" i="1" l="1"/>
  <c r="E73" i="1"/>
  <c r="H74" i="1" s="1"/>
  <c r="G74" i="1" s="1"/>
  <c r="F74" i="1" s="1"/>
  <c r="F49" i="1" l="1"/>
  <c r="E49" i="1"/>
  <c r="H50" i="1" s="1"/>
  <c r="E74" i="1"/>
  <c r="H75" i="1" s="1"/>
  <c r="G75" i="1" s="1"/>
  <c r="F75" i="1" s="1"/>
  <c r="G50" i="1" l="1"/>
  <c r="F50" i="1" s="1"/>
  <c r="E75" i="1"/>
  <c r="H76" i="1" s="1"/>
  <c r="G76" i="1" s="1"/>
  <c r="F76" i="1" s="1"/>
  <c r="E50" i="1" l="1"/>
  <c r="H51" i="1" s="1"/>
  <c r="E76" i="1"/>
  <c r="H77" i="1" s="1"/>
  <c r="G77" i="1" s="1"/>
  <c r="F77" i="1" s="1"/>
  <c r="G51" i="1" l="1"/>
  <c r="F51" i="1" s="1"/>
  <c r="E77" i="1"/>
  <c r="H78" i="1" s="1"/>
  <c r="G78" i="1" s="1"/>
  <c r="F78" i="1" s="1"/>
  <c r="U79" i="1" s="1"/>
  <c r="E51" i="1" l="1"/>
  <c r="H52" i="1" s="1"/>
  <c r="E78" i="1"/>
  <c r="H79" i="1" s="1"/>
  <c r="G79" i="1" s="1"/>
  <c r="F79" i="1" s="1"/>
  <c r="G52" i="1" l="1"/>
  <c r="E79" i="1"/>
  <c r="H80" i="1" s="1"/>
  <c r="G80" i="1" s="1"/>
  <c r="F80" i="1" s="1"/>
  <c r="E52" i="1" l="1"/>
  <c r="H53" i="1" s="1"/>
  <c r="F52" i="1"/>
  <c r="E80" i="1"/>
  <c r="H81" i="1" s="1"/>
  <c r="G81" i="1" s="1"/>
  <c r="F81" i="1" s="1"/>
  <c r="U82" i="1" s="1"/>
  <c r="G53" i="1" l="1"/>
  <c r="E81" i="1"/>
  <c r="H82" i="1" s="1"/>
  <c r="G82" i="1" s="1"/>
  <c r="F82" i="1" s="1"/>
  <c r="F53" i="1" l="1"/>
  <c r="E53" i="1"/>
  <c r="H54" i="1" s="1"/>
  <c r="E82" i="1"/>
  <c r="H83" i="1" s="1"/>
  <c r="G83" i="1" s="1"/>
  <c r="F83" i="1" s="1"/>
  <c r="G54" i="1" l="1"/>
  <c r="E83" i="1"/>
  <c r="H84" i="1" s="1"/>
  <c r="G84" i="1" s="1"/>
  <c r="F84" i="1" s="1"/>
  <c r="F54" i="1" l="1"/>
  <c r="E54" i="1"/>
  <c r="H55" i="1" s="1"/>
  <c r="G68" i="1"/>
  <c r="G69" i="1" s="1"/>
  <c r="U85" i="1"/>
  <c r="E84" i="1"/>
  <c r="H85" i="1" s="1"/>
  <c r="G85" i="1" s="1"/>
  <c r="F85" i="1" s="1"/>
  <c r="G55" i="1" l="1"/>
  <c r="E55" i="1" s="1"/>
  <c r="H56" i="1" s="1"/>
  <c r="E68" i="1"/>
  <c r="H69" i="1" s="1"/>
  <c r="F69" i="1" s="1"/>
  <c r="F68" i="1"/>
  <c r="E85" i="1"/>
  <c r="H86" i="1" s="1"/>
  <c r="G86" i="1" s="1"/>
  <c r="F88" i="1" s="1"/>
  <c r="G56" i="1" l="1"/>
  <c r="F56" i="1" s="1"/>
  <c r="F55" i="1"/>
  <c r="U56" i="1" s="1"/>
  <c r="U70" i="1"/>
  <c r="E69" i="1"/>
  <c r="H70" i="1" s="1"/>
  <c r="G70" i="1" s="1"/>
  <c r="F70" i="1" s="1"/>
  <c r="F86" i="1"/>
  <c r="E86" i="1"/>
  <c r="H87" i="1" s="1"/>
  <c r="E56" i="1" l="1"/>
  <c r="H57" i="1" s="1"/>
  <c r="G87" i="1"/>
  <c r="F87" i="1" s="1"/>
  <c r="U88" i="1" s="1"/>
  <c r="G57" i="1" l="1"/>
  <c r="E57" i="1" s="1"/>
  <c r="E87" i="1"/>
  <c r="H58" i="1" l="1"/>
  <c r="G58" i="1" s="1"/>
  <c r="F57" i="1"/>
  <c r="U58" i="1" s="1"/>
  <c r="H88" i="1"/>
  <c r="E88" i="1"/>
  <c r="F58" i="1" l="1"/>
  <c r="E58" i="1"/>
  <c r="H59" i="1" s="1"/>
  <c r="G59" i="1" s="1"/>
  <c r="E59" i="1" s="1"/>
  <c r="H60" i="1" s="1"/>
  <c r="G60" i="1" l="1"/>
  <c r="F60" i="1" s="1"/>
  <c r="F59" i="1"/>
  <c r="E60" i="1" l="1"/>
  <c r="H61" i="1" s="1"/>
  <c r="G61" i="1" l="1"/>
  <c r="E61" i="1" s="1"/>
  <c r="H62" i="1" s="1"/>
  <c r="G62" i="1" l="1"/>
  <c r="F62" i="1" s="1"/>
  <c r="F61" i="1"/>
  <c r="E62" i="1" l="1"/>
  <c r="H63" i="1" s="1"/>
  <c r="G63" i="1" l="1"/>
  <c r="F63" i="1" s="1"/>
  <c r="E63" i="1" l="1"/>
  <c r="H64" i="1" s="1"/>
  <c r="G64" i="1" l="1"/>
  <c r="F64" i="1" s="1"/>
  <c r="E64" i="1" l="1"/>
  <c r="H65" i="1" s="1"/>
  <c r="G65" i="1" l="1"/>
  <c r="F65" i="1" s="1"/>
  <c r="E65" i="1" l="1"/>
  <c r="H66" i="1" s="1"/>
  <c r="G66" i="1" l="1"/>
  <c r="E66" i="1" s="1"/>
  <c r="H67" i="1" s="1"/>
  <c r="F66" i="1" l="1"/>
  <c r="U67" i="1" s="1"/>
  <c r="G67" i="1"/>
  <c r="F67" i="1" l="1"/>
  <c r="U68" i="1" s="1"/>
  <c r="S18" i="1" s="1"/>
  <c r="G4" i="1"/>
  <c r="E67" i="1"/>
  <c r="H68" i="1" s="1"/>
  <c r="T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Шпаковский Александр Михайлович</author>
  </authors>
  <commentList>
    <comment ref="F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 тело добавляеться?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Шпаковский Александр Михайлович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в тело добавляеться?</t>
        </r>
      </text>
    </comment>
  </commentList>
</comments>
</file>

<file path=xl/sharedStrings.xml><?xml version="1.0" encoding="utf-8"?>
<sst xmlns="http://schemas.openxmlformats.org/spreadsheetml/2006/main" count="130" uniqueCount="48">
  <si>
    <t>Дата надання</t>
  </si>
  <si>
    <t>строк</t>
  </si>
  <si>
    <t>сума кредиту</t>
  </si>
  <si>
    <t>процентна ставка</t>
  </si>
  <si>
    <t>щомісячна комісія</t>
  </si>
  <si>
    <t>разова комісія</t>
  </si>
  <si>
    <t>дата погашення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</si>
  <si>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</si>
  <si>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</si>
  <si>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</si>
  <si>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</si>
  <si>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</si>
  <si>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</si>
  <si>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</si>
  <si>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</si>
  <si>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</si>
  <si>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</si>
  <si>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</si>
  <si>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</si>
  <si>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</si>
  <si>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</si>
  <si>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</si>
  <si>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</si>
  <si>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</si>
  <si>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</si>
  <si>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</si>
  <si>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</si>
  <si>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</si>
  <si>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</si>
  <si>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Сума заборгованості</t>
  </si>
  <si>
    <t>№ з/п</t>
  </si>
  <si>
    <t>Платіж у місяць</t>
  </si>
  <si>
    <t xml:space="preserve"> </t>
  </si>
  <si>
    <t>так</t>
  </si>
  <si>
    <t>ні</t>
  </si>
  <si>
    <t>знижена ставка на пільговий період</t>
  </si>
  <si>
    <t>да</t>
  </si>
  <si>
    <t>нет</t>
  </si>
  <si>
    <t>вартість застави</t>
  </si>
  <si>
    <t>Вільний</t>
  </si>
  <si>
    <t>сума кредиту на руки</t>
  </si>
  <si>
    <t>страхування застави</t>
  </si>
  <si>
    <t>страхування позичальників</t>
  </si>
  <si>
    <t>Простий 4.0</t>
  </si>
  <si>
    <t>загальна сума кредиту</t>
  </si>
  <si>
    <t>суму кредиту сюда</t>
  </si>
  <si>
    <t>обери строк кредиту</t>
  </si>
  <si>
    <t>Простой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</si>
</sst>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;[Red]\-#,##0.00\ &quot;₽&quot;"/>
    <numFmt numFmtId="165" formatCode="#,##0.00_ ;[Red]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14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4" fontId="10" fillId="0" borderId="0" xfId="0" applyNumberFormat="1" applyFont="1" applyProtection="1">
      <protection locked="0"/>
    </xf>
    <xf numFmtId="10" fontId="10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11" fillId="5" borderId="0" xfId="0" applyFont="1" applyFill="1" applyAlignment="1" applyProtection="1">
      <alignment horizontal="center"/>
      <protection locked="0"/>
    </xf>
    <xf numFmtId="4" fontId="10" fillId="0" borderId="0" xfId="0" applyNumberFormat="1" applyFont="1" applyProtection="1"/>
    <xf numFmtId="10" fontId="10" fillId="0" borderId="0" xfId="0" applyNumberFormat="1" applyFont="1" applyProtection="1"/>
    <xf numFmtId="0" fontId="0" fillId="0" borderId="0" xfId="0" applyProtection="1"/>
    <xf numFmtId="0" fontId="1" fillId="0" borderId="0" xfId="0" applyFont="1" applyProtection="1"/>
    <xf numFmtId="4" fontId="3" fillId="0" borderId="0" xfId="0" applyNumberFormat="1" applyFont="1" applyProtection="1"/>
    <xf numFmtId="14" fontId="10" fillId="0" borderId="0" xfId="0" applyNumberFormat="1" applyFont="1" applyProtection="1"/>
    <xf numFmtId="14" fontId="1" fillId="0" borderId="0" xfId="0" applyNumberFormat="1" applyFont="1" applyProtection="1"/>
    <xf numFmtId="0" fontId="3" fillId="0" borderId="0" xfId="0" applyFont="1" applyProtection="1"/>
    <xf numFmtId="0" fontId="1" fillId="0" borderId="0" xfId="0" applyFont="1" applyAlignment="1" applyProtection="1">
      <alignment wrapText="1"/>
    </xf>
    <xf numFmtId="4" fontId="0" fillId="0" borderId="0" xfId="0" applyNumberFormat="1" applyProtection="1"/>
    <xf numFmtId="9" fontId="0" fillId="0" borderId="0" xfId="0" applyNumberFormat="1" applyFill="1" applyProtection="1"/>
    <xf numFmtId="9" fontId="0" fillId="0" borderId="0" xfId="0" applyNumberFormat="1" applyProtection="1"/>
    <xf numFmtId="14" fontId="0" fillId="0" borderId="0" xfId="0" applyNumberFormat="1" applyProtection="1"/>
    <xf numFmtId="0" fontId="9" fillId="0" borderId="0" xfId="0" applyFont="1" applyFill="1" applyProtection="1"/>
    <xf numFmtId="10" fontId="9" fillId="0" borderId="0" xfId="0" applyNumberFormat="1" applyFont="1" applyFill="1" applyProtection="1"/>
    <xf numFmtId="0" fontId="0" fillId="0" borderId="0" xfId="0" applyFill="1" applyProtection="1"/>
    <xf numFmtId="165" fontId="7" fillId="3" borderId="0" xfId="0" applyNumberFormat="1" applyFont="1" applyFill="1" applyProtection="1"/>
    <xf numFmtId="164" fontId="6" fillId="2" borderId="0" xfId="0" applyNumberFormat="1" applyFont="1" applyFill="1" applyAlignment="1" applyProtection="1">
      <alignment horizontal="center" vertical="center"/>
    </xf>
    <xf numFmtId="9" fontId="6" fillId="3" borderId="0" xfId="0" applyNumberFormat="1" applyFont="1" applyFill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/>
    </xf>
    <xf numFmtId="10" fontId="2" fillId="0" borderId="0" xfId="0" applyNumberFormat="1" applyFont="1" applyFill="1" applyProtection="1"/>
    <xf numFmtId="4" fontId="2" fillId="0" borderId="0" xfId="0" applyNumberFormat="1" applyFont="1" applyProtection="1"/>
    <xf numFmtId="10" fontId="0" fillId="0" borderId="0" xfId="0" applyNumberFormat="1" applyProtection="1"/>
    <xf numFmtId="3" fontId="0" fillId="0" borderId="0" xfId="0" applyNumberFormat="1" applyProtection="1"/>
    <xf numFmtId="0" fontId="12" fillId="4" borderId="0" xfId="0" applyFont="1" applyFill="1" applyProtection="1"/>
    <xf numFmtId="0" fontId="4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1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9" fontId="0" fillId="0" borderId="0" xfId="0" applyNumberFormat="1" applyFill="1" applyProtection="1">
      <protection locked="0"/>
    </xf>
    <xf numFmtId="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5" fontId="7" fillId="3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119061</xdr:colOff>
      <xdr:row>5</xdr:row>
      <xdr:rowOff>47625</xdr:rowOff>
    </xdr:from>
    <xdr:to>
      <xdr:col>4</xdr:col>
      <xdr:colOff>952499</xdr:colOff>
      <xdr:row>5</xdr:row>
      <xdr:rowOff>226219</xdr:rowOff>
    </xdr:to>
    <xdr:sp macro="" textlink="">
      <xdr:nvSpPr>
        <xdr:cNvPr id="2" name="Стрелка влево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26655" y="1190625"/>
          <a:ext cx="833438" cy="17859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95248</xdr:colOff>
      <xdr:row>3</xdr:row>
      <xdr:rowOff>23812</xdr:rowOff>
    </xdr:from>
    <xdr:to>
      <xdr:col>4</xdr:col>
      <xdr:colOff>928686</xdr:colOff>
      <xdr:row>3</xdr:row>
      <xdr:rowOff>202406</xdr:rowOff>
    </xdr:to>
    <xdr:sp macro="" textlink="">
      <xdr:nvSpPr>
        <xdr:cNvPr id="3" name="Стрелка влево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02842" y="714375"/>
          <a:ext cx="833438" cy="17859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A89"/>
  <sheetViews>
    <sheetView tabSelected="1" topLeftCell="B1" zoomScale="80" zoomScaleNormal="80" workbookViewId="0">
      <selection activeCell="G8" sqref="G8"/>
    </sheetView>
  </sheetViews>
  <sheetFormatPr defaultRowHeight="15" x14ac:dyDescent="0.25"/>
  <cols>
    <col min="1" max="1" width="0" style="10" hidden="1" customWidth="1"/>
    <col min="2" max="2" width="9.140625" style="10"/>
    <col min="3" max="3" width="30" style="10" customWidth="1"/>
    <col min="4" max="4" width="15" style="10" customWidth="1"/>
    <col min="5" max="5" width="15.85546875" style="10" customWidth="1"/>
    <col min="6" max="6" width="31.7109375" style="10" customWidth="1"/>
    <col min="7" max="7" width="14" style="10" customWidth="1"/>
    <col min="8" max="8" width="12.5703125" style="10" customWidth="1"/>
    <col min="9" max="9" width="16.7109375" style="10" customWidth="1"/>
    <col min="10" max="10" width="13.140625" style="10" customWidth="1"/>
    <col min="11" max="12" width="9.140625" style="10"/>
    <col min="13" max="13" width="9.140625" style="10" customWidth="1"/>
    <col min="14" max="14" width="13.42578125" style="10" customWidth="1"/>
    <col min="15" max="18" width="9.140625" style="10" customWidth="1"/>
    <col min="19" max="19" width="11.85546875" style="10" customWidth="1"/>
    <col min="20" max="21" width="13.5703125" style="10" customWidth="1"/>
    <col min="22" max="27" width="9.140625" style="10" hidden="1" customWidth="1"/>
    <col min="28" max="16384" width="9.140625" style="10"/>
  </cols>
  <sheetData>
    <row r="1" spans="2:27" x14ac:dyDescent="0.25">
      <c r="B1" s="48"/>
      <c r="C1" s="48"/>
      <c r="D1" s="1"/>
      <c r="E1" s="37"/>
      <c r="F1" s="37"/>
      <c r="G1" s="12" t="s">
        <v>33</v>
      </c>
      <c r="H1" s="11"/>
      <c r="I1" s="11"/>
      <c r="J1" s="11"/>
      <c r="Y1" s="10">
        <v>13</v>
      </c>
    </row>
    <row r="2" spans="2:27" ht="21" x14ac:dyDescent="0.35">
      <c r="B2" s="47"/>
      <c r="C2" s="7" t="s">
        <v>47</v>
      </c>
      <c r="D2" s="1"/>
      <c r="E2" s="37"/>
      <c r="F2" s="37"/>
      <c r="G2" s="12"/>
      <c r="H2" s="11"/>
      <c r="I2" s="11"/>
      <c r="J2" s="11"/>
      <c r="Y2" s="10">
        <v>25</v>
      </c>
      <c r="Z2" s="10" t="s">
        <v>43</v>
      </c>
    </row>
    <row r="3" spans="2:27" ht="18.75" x14ac:dyDescent="0.3">
      <c r="B3" s="50" t="s">
        <v>0</v>
      </c>
      <c r="C3" s="50"/>
      <c r="D3" s="2">
        <f ca="1">TODAY()</f>
        <v>45441</v>
      </c>
      <c r="E3" s="38"/>
      <c r="F3" s="37"/>
      <c r="G3" s="15" t="s">
        <v>34</v>
      </c>
      <c r="H3" s="11"/>
      <c r="I3" s="11"/>
      <c r="J3" s="11"/>
      <c r="Y3" s="10">
        <v>37</v>
      </c>
      <c r="Z3" s="10" t="s">
        <v>39</v>
      </c>
      <c r="AA3" s="10" t="s">
        <v>36</v>
      </c>
    </row>
    <row r="4" spans="2:27" ht="18" customHeight="1" x14ac:dyDescent="0.3">
      <c r="B4" s="50" t="s">
        <v>1</v>
      </c>
      <c r="C4" s="50"/>
      <c r="D4" s="3">
        <v>37</v>
      </c>
      <c r="E4" s="37"/>
      <c r="F4" s="39" t="s">
        <v>46</v>
      </c>
      <c r="G4" s="12">
        <f ca="1">SUM(G19:G87)</f>
        <v>116106.24845902604</v>
      </c>
      <c r="H4" s="11"/>
      <c r="I4" s="11"/>
      <c r="J4" s="11"/>
      <c r="AA4" s="10" t="s">
        <v>37</v>
      </c>
    </row>
    <row r="5" spans="2:27" ht="18" customHeight="1" x14ac:dyDescent="0.3">
      <c r="B5" s="50" t="s">
        <v>44</v>
      </c>
      <c r="C5" s="50"/>
      <c r="D5" s="8">
        <f>IF(F9="нет",D6,D6+D9*D6)</f>
        <v>115830</v>
      </c>
      <c r="E5" s="37"/>
      <c r="F5" s="39"/>
      <c r="G5" s="12"/>
      <c r="H5" s="11"/>
      <c r="I5" s="11"/>
      <c r="J5" s="11"/>
      <c r="Y5" s="10">
        <v>27</v>
      </c>
    </row>
    <row r="6" spans="2:27" ht="18.75" x14ac:dyDescent="0.3">
      <c r="B6" s="50" t="s">
        <v>40</v>
      </c>
      <c r="C6" s="50"/>
      <c r="D6" s="4">
        <v>99000</v>
      </c>
      <c r="E6" s="40"/>
      <c r="F6" s="39" t="s">
        <v>45</v>
      </c>
      <c r="Y6" s="10">
        <v>39</v>
      </c>
    </row>
    <row r="7" spans="2:27" ht="18.75" x14ac:dyDescent="0.3">
      <c r="B7" s="50" t="s">
        <v>3</v>
      </c>
      <c r="C7" s="50"/>
      <c r="D7" s="5">
        <f>IF($D$5&gt;103500,61.75%,61.75%)</f>
        <v>0.61750000000000005</v>
      </c>
      <c r="E7" s="41"/>
      <c r="F7" s="1"/>
      <c r="Y7" s="10">
        <v>51</v>
      </c>
    </row>
    <row r="8" spans="2:27" ht="18.75" x14ac:dyDescent="0.3">
      <c r="B8" s="50" t="s">
        <v>4</v>
      </c>
      <c r="C8" s="50"/>
      <c r="D8" s="5">
        <v>0</v>
      </c>
      <c r="E8" s="42"/>
      <c r="F8" s="1"/>
    </row>
    <row r="9" spans="2:27" ht="18.75" x14ac:dyDescent="0.3">
      <c r="B9" s="50" t="s">
        <v>5</v>
      </c>
      <c r="C9" s="50"/>
      <c r="D9" s="9">
        <v>0.17</v>
      </c>
      <c r="E9" s="1"/>
      <c r="F9" s="45" t="s">
        <v>36</v>
      </c>
    </row>
    <row r="10" spans="2:27" ht="18.75" x14ac:dyDescent="0.3">
      <c r="B10" s="50" t="s">
        <v>6</v>
      </c>
      <c r="C10" s="50"/>
      <c r="D10" s="2">
        <f ca="1">EDATE(D3,D4)</f>
        <v>46567</v>
      </c>
      <c r="E10" s="43"/>
      <c r="F10" s="1"/>
      <c r="L10" s="21"/>
      <c r="M10" s="21"/>
      <c r="N10" s="21"/>
      <c r="O10" s="21"/>
      <c r="P10" s="21"/>
      <c r="Q10" s="21"/>
      <c r="R10" s="21"/>
      <c r="S10" s="22"/>
      <c r="T10" s="23"/>
      <c r="Y10" s="10">
        <v>51</v>
      </c>
    </row>
    <row r="11" spans="2:27" ht="15.75" hidden="1" x14ac:dyDescent="0.25">
      <c r="B11" s="55" t="s">
        <v>31</v>
      </c>
      <c r="C11" s="55"/>
      <c r="D11" s="44">
        <f>-PMT(D7/12,D4,D5)</f>
        <v>7063.8189767626791</v>
      </c>
      <c r="E11" s="1" t="s">
        <v>32</v>
      </c>
      <c r="F11" s="1"/>
    </row>
    <row r="12" spans="2:27" ht="15.75" hidden="1" x14ac:dyDescent="0.25">
      <c r="B12" s="51" t="s">
        <v>35</v>
      </c>
      <c r="C12" s="51"/>
      <c r="D12" s="25" t="s">
        <v>34</v>
      </c>
      <c r="E12" s="26"/>
      <c r="F12" s="26">
        <v>0.24</v>
      </c>
    </row>
    <row r="13" spans="2:27" x14ac:dyDescent="0.25">
      <c r="B13" s="49" t="s">
        <v>30</v>
      </c>
      <c r="C13" s="49" t="s">
        <v>7</v>
      </c>
      <c r="D13" s="49" t="s">
        <v>8</v>
      </c>
      <c r="E13" s="52" t="s">
        <v>29</v>
      </c>
      <c r="F13" s="49" t="s">
        <v>9</v>
      </c>
      <c r="G13" s="49" t="s">
        <v>10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 t="s">
        <v>11</v>
      </c>
      <c r="T13" s="49" t="s">
        <v>12</v>
      </c>
    </row>
    <row r="14" spans="2:27" x14ac:dyDescent="0.25">
      <c r="B14" s="49"/>
      <c r="C14" s="49"/>
      <c r="D14" s="49"/>
      <c r="E14" s="53"/>
      <c r="F14" s="49"/>
      <c r="G14" s="49" t="s">
        <v>13</v>
      </c>
      <c r="H14" s="49" t="s">
        <v>14</v>
      </c>
      <c r="I14" s="49" t="s">
        <v>15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2:27" x14ac:dyDescent="0.25">
      <c r="B15" s="49"/>
      <c r="C15" s="49"/>
      <c r="D15" s="49"/>
      <c r="E15" s="53"/>
      <c r="F15" s="49"/>
      <c r="G15" s="49"/>
      <c r="H15" s="49"/>
      <c r="I15" s="49" t="s">
        <v>16</v>
      </c>
      <c r="J15" s="49"/>
      <c r="K15" s="49"/>
      <c r="L15" s="49"/>
      <c r="M15" s="49" t="s">
        <v>17</v>
      </c>
      <c r="N15" s="49"/>
      <c r="O15" s="49" t="s">
        <v>18</v>
      </c>
      <c r="P15" s="49"/>
      <c r="Q15" s="49"/>
      <c r="R15" s="49"/>
      <c r="S15" s="49"/>
      <c r="T15" s="49"/>
    </row>
    <row r="16" spans="2:27" ht="60" x14ac:dyDescent="0.25">
      <c r="B16" s="49"/>
      <c r="C16" s="49"/>
      <c r="D16" s="49"/>
      <c r="E16" s="54"/>
      <c r="F16" s="49"/>
      <c r="G16" s="49"/>
      <c r="H16" s="49"/>
      <c r="I16" s="46" t="s">
        <v>19</v>
      </c>
      <c r="J16" s="46" t="s">
        <v>20</v>
      </c>
      <c r="K16" s="46" t="s">
        <v>21</v>
      </c>
      <c r="L16" s="46" t="s">
        <v>22</v>
      </c>
      <c r="M16" s="46" t="s">
        <v>23</v>
      </c>
      <c r="N16" s="46" t="s">
        <v>24</v>
      </c>
      <c r="O16" s="46" t="s">
        <v>25</v>
      </c>
      <c r="P16" s="46" t="s">
        <v>26</v>
      </c>
      <c r="Q16" s="46" t="s">
        <v>27</v>
      </c>
      <c r="R16" s="46" t="s">
        <v>28</v>
      </c>
      <c r="S16" s="49"/>
      <c r="T16" s="49"/>
    </row>
    <row r="17" spans="2:23" x14ac:dyDescent="0.25">
      <c r="B17" s="46">
        <v>1</v>
      </c>
      <c r="C17" s="46">
        <v>2</v>
      </c>
      <c r="D17" s="46">
        <v>3</v>
      </c>
      <c r="E17" s="46"/>
      <c r="F17" s="46">
        <v>4</v>
      </c>
      <c r="G17" s="46">
        <v>5</v>
      </c>
      <c r="H17" s="46">
        <v>6</v>
      </c>
      <c r="I17" s="46">
        <v>7</v>
      </c>
      <c r="J17" s="46">
        <v>8</v>
      </c>
      <c r="K17" s="46">
        <v>9</v>
      </c>
      <c r="L17" s="46">
        <v>10</v>
      </c>
      <c r="M17" s="46">
        <v>11</v>
      </c>
      <c r="N17" s="46">
        <v>12</v>
      </c>
      <c r="O17" s="46">
        <v>13</v>
      </c>
      <c r="P17" s="46">
        <v>14</v>
      </c>
      <c r="Q17" s="46">
        <v>15</v>
      </c>
      <c r="R17" s="46">
        <v>16</v>
      </c>
      <c r="S17" s="46">
        <v>17</v>
      </c>
      <c r="T17" s="46">
        <v>18</v>
      </c>
    </row>
    <row r="18" spans="2:23" x14ac:dyDescent="0.25">
      <c r="B18" s="10">
        <v>0</v>
      </c>
      <c r="C18" s="28">
        <f ca="1">D3</f>
        <v>45441</v>
      </c>
      <c r="E18" s="17">
        <f>D5</f>
        <v>115830</v>
      </c>
      <c r="F18" s="17">
        <f>-E18+K18</f>
        <v>-99000</v>
      </c>
      <c r="G18" s="17"/>
      <c r="H18" s="17"/>
      <c r="K18" s="10">
        <f>D9*D6</f>
        <v>16830</v>
      </c>
      <c r="S18" s="29">
        <f ca="1">SUM(U21:U89)</f>
        <v>1.109150350093842</v>
      </c>
      <c r="T18" s="30">
        <f ca="1">SUM(G19:I87)</f>
        <v>261361.30214021914</v>
      </c>
    </row>
    <row r="19" spans="2:23" x14ac:dyDescent="0.25">
      <c r="B19" s="10">
        <v>1</v>
      </c>
      <c r="C19" s="28">
        <f ca="1">EDATE(C18,1)</f>
        <v>45472</v>
      </c>
      <c r="D19" s="10">
        <f ca="1">C19-C18</f>
        <v>31</v>
      </c>
      <c r="E19" s="17">
        <f ca="1">E18-G19</f>
        <v>114824.3115560242</v>
      </c>
      <c r="F19" s="17">
        <f ca="1">G19+H19+I19</f>
        <v>7063.8189767626791</v>
      </c>
      <c r="G19" s="17">
        <f ca="1">IF($C$2="Вільний",0,IF(C19=" "," ",IF(C19=$D$10,$D$6-SUM($G18:G$19),($D$11-H19))))</f>
        <v>1005.6884439757932</v>
      </c>
      <c r="H19" s="17">
        <f ca="1">IF($D$12="ні",E18*$D$7*D19/W19,E18*$F$12*D19/W19)</f>
        <v>6058.1305327868859</v>
      </c>
      <c r="I19" s="10">
        <f ca="1">IF(C19=" "," ",IF($F$9="нет",$D$8*$D$6,($D$6*(1+$D$9))*$D$8))</f>
        <v>0</v>
      </c>
      <c r="V19" s="10">
        <f ca="1">IF(C19=" "," ",YEAR(C19))</f>
        <v>2024</v>
      </c>
      <c r="W19" s="10">
        <f ca="1">IF(OR(V19=2024,V19=2028,V19=2016,V19=2020,V19=2024,V19=2028,V19=2032,V19=2036,V19=2040),366,365)</f>
        <v>366</v>
      </c>
    </row>
    <row r="20" spans="2:23" x14ac:dyDescent="0.25">
      <c r="B20" s="10">
        <v>2</v>
      </c>
      <c r="C20" s="28">
        <f ca="1">IF(B19&gt;=$D$4, " ", EDATE(C19,1))</f>
        <v>45502</v>
      </c>
      <c r="D20" s="10">
        <f t="shared" ref="D20:D54" ca="1" si="0">IF(C20=" "," ",(C20-C19))</f>
        <v>30</v>
      </c>
      <c r="E20" s="17">
        <f ca="1">E19-G20</f>
        <v>113572.29687318324</v>
      </c>
      <c r="F20" s="17">
        <f ca="1">IF(C20=" "," ",G20+H20+I20)</f>
        <v>7063.8189767626791</v>
      </c>
      <c r="G20" s="17">
        <f ca="1">IF($C$2="Вільний",0,IF(C20=" "," ",IF(C20=$D$10,$D$6-SUM($G19:G$19),($D$11-H20))))</f>
        <v>1252.0146828409615</v>
      </c>
      <c r="H20" s="17">
        <f t="shared" ref="H20:H31" ca="1" si="1">IF($D$12="ні",E19*$D$7*D20/W20,E19*$F$12*D20/W20)</f>
        <v>5811.8042939217175</v>
      </c>
      <c r="I20" s="10">
        <f ca="1">IF(C20=" "," ",IF($F$9="нет",$D$8*$D$6,($D$6*(1+$D$9))*$D$8))</f>
        <v>0</v>
      </c>
      <c r="V20" s="10">
        <f t="shared" ref="V20:V83" ca="1" si="2">IF(C20=" "," ",YEAR(C20))</f>
        <v>2024</v>
      </c>
      <c r="W20" s="10">
        <f t="shared" ref="W20:W83" ca="1" si="3">IF(OR(V20=2024,V20=2028,V20=2016,V20=2020,V20=2024,V20=2028,V20=2032,V20=2036,V20=2040),366,365)</f>
        <v>366</v>
      </c>
    </row>
    <row r="21" spans="2:23" x14ac:dyDescent="0.25">
      <c r="B21" s="10">
        <f t="shared" ref="B21:B54" ca="1" si="4">IF(C21 =" "," ",B20+1)</f>
        <v>3</v>
      </c>
      <c r="C21" s="28">
        <f t="shared" ref="C21:C84" ca="1" si="5">IF(B20&gt;=$D$4, " ", EDATE(C20,1))</f>
        <v>45533</v>
      </c>
      <c r="D21" s="10">
        <f t="shared" ca="1" si="0"/>
        <v>31</v>
      </c>
      <c r="E21" s="17">
        <f t="shared" ref="E21:E23" ca="1" si="6">E20-G21</f>
        <v>112448.52623766348</v>
      </c>
      <c r="F21" s="17">
        <f ca="1">IF(C21=" "," ",G21+H21+I21)</f>
        <v>7063.8189767626791</v>
      </c>
      <c r="G21" s="17">
        <f ca="1">IF($C$2="Вільний",0,IF(C21=" "," ",IF(C21=$D$10,$D$6-SUM($G$19:G20),($D$11-H21))))</f>
        <v>1123.7706355197543</v>
      </c>
      <c r="H21" s="17">
        <f t="shared" ca="1" si="1"/>
        <v>5940.0483412429248</v>
      </c>
      <c r="I21" s="10">
        <f t="shared" ref="I21:I84" ca="1" si="7">IF(C21=" "," ",IF($F$9="нет",$D$8*$D$6,($D$6*(1+$D$9))*$D$8))</f>
        <v>0</v>
      </c>
      <c r="U21" s="31" t="str">
        <f>IF(B20=$D$4,XIRR(#REF!,$C$18:C20)," ")</f>
        <v xml:space="preserve"> </v>
      </c>
      <c r="V21" s="10">
        <f t="shared" ca="1" si="2"/>
        <v>2024</v>
      </c>
      <c r="W21" s="10">
        <f t="shared" ca="1" si="3"/>
        <v>366</v>
      </c>
    </row>
    <row r="22" spans="2:23" x14ac:dyDescent="0.25">
      <c r="B22" s="10">
        <f t="shared" ca="1" si="4"/>
        <v>4</v>
      </c>
      <c r="C22" s="28">
        <f t="shared" ca="1" si="5"/>
        <v>45564</v>
      </c>
      <c r="D22" s="10">
        <f t="shared" ca="1" si="0"/>
        <v>31</v>
      </c>
      <c r="E22" s="17">
        <f t="shared" ca="1" si="6"/>
        <v>111265.98024861794</v>
      </c>
      <c r="F22" s="17">
        <f ca="1">IF(C22=" "," ",G22+H22+I22)</f>
        <v>7063.8189767626791</v>
      </c>
      <c r="G22" s="17">
        <f ca="1">IF(C22=" "," ",IF(C22=$D$10,$D$6-SUM($G$19:G21),($D$11-H22)))</f>
        <v>1182.5459890455395</v>
      </c>
      <c r="H22" s="17">
        <f t="shared" ca="1" si="1"/>
        <v>5881.2729877171396</v>
      </c>
      <c r="I22" s="10">
        <f t="shared" ca="1" si="7"/>
        <v>0</v>
      </c>
      <c r="U22" s="31" t="str">
        <f ca="1">IF(B21=$D$4,XIRR($F$18:F21,$C$18:C21)," ")</f>
        <v xml:space="preserve"> </v>
      </c>
      <c r="V22" s="10">
        <f t="shared" ca="1" si="2"/>
        <v>2024</v>
      </c>
      <c r="W22" s="10">
        <f t="shared" ca="1" si="3"/>
        <v>366</v>
      </c>
    </row>
    <row r="23" spans="2:23" x14ac:dyDescent="0.25">
      <c r="B23" s="10">
        <f t="shared" ca="1" si="4"/>
        <v>5</v>
      </c>
      <c r="C23" s="28">
        <f t="shared" ca="1" si="5"/>
        <v>45594</v>
      </c>
      <c r="D23" s="10">
        <f t="shared" ca="1" si="0"/>
        <v>30</v>
      </c>
      <c r="E23" s="17">
        <f t="shared" ca="1" si="6"/>
        <v>109833.86150165211</v>
      </c>
      <c r="F23" s="17">
        <f ca="1">IF(C23=" "," ",G23+H23+I23)</f>
        <v>7063.8189767626791</v>
      </c>
      <c r="G23" s="17">
        <f ca="1">IF(C23=" "," ",IF(C23=$D$10,$D$6-SUM($G$19:G22),($D$11-H23)))</f>
        <v>1432.118746965828</v>
      </c>
      <c r="H23" s="17">
        <f t="shared" ca="1" si="1"/>
        <v>5631.7002297968511</v>
      </c>
      <c r="I23" s="10">
        <f t="shared" ca="1" si="7"/>
        <v>0</v>
      </c>
      <c r="U23" s="31" t="str">
        <f ca="1">IF(B22=$D$4,XIRR($F$18:F22,$C$18:C22)," ")</f>
        <v xml:space="preserve"> </v>
      </c>
      <c r="V23" s="10">
        <f t="shared" ca="1" si="2"/>
        <v>2024</v>
      </c>
      <c r="W23" s="10">
        <f t="shared" ca="1" si="3"/>
        <v>366</v>
      </c>
    </row>
    <row r="24" spans="2:23" x14ac:dyDescent="0.25">
      <c r="B24" s="10">
        <f t="shared" ca="1" si="4"/>
        <v>6</v>
      </c>
      <c r="C24" s="28">
        <f t="shared" ca="1" si="5"/>
        <v>45625</v>
      </c>
      <c r="D24" s="10">
        <f t="shared" ca="1" si="0"/>
        <v>31</v>
      </c>
      <c r="E24" s="17">
        <f t="shared" ref="E24:E42" ca="1" si="8">IF(C24=" "," ",E23-G24)</f>
        <v>108514.56354618826</v>
      </c>
      <c r="F24" s="17">
        <f t="shared" ref="F24:F87" ca="1" si="9">IF(C24=" "," ",G24+H24+I24)</f>
        <v>7063.8189767626791</v>
      </c>
      <c r="G24" s="17">
        <f ca="1">IF(C24=" "," ",IF(C24=$D$10,$D$6-SUM($G$19:G23),($D$11-H24)))</f>
        <v>1319.2979554638387</v>
      </c>
      <c r="H24" s="17">
        <f t="shared" ca="1" si="1"/>
        <v>5744.5210212988404</v>
      </c>
      <c r="I24" s="10">
        <f t="shared" ca="1" si="7"/>
        <v>0</v>
      </c>
      <c r="U24" s="31" t="str">
        <f ca="1">IF(B23=$D$4,XIRR($F$18:F23,$C$18:C23)," ")</f>
        <v xml:space="preserve"> </v>
      </c>
      <c r="V24" s="10">
        <f t="shared" ca="1" si="2"/>
        <v>2024</v>
      </c>
      <c r="W24" s="10">
        <f t="shared" ca="1" si="3"/>
        <v>366</v>
      </c>
    </row>
    <row r="25" spans="2:23" x14ac:dyDescent="0.25">
      <c r="B25" s="10">
        <f t="shared" ca="1" si="4"/>
        <v>7</v>
      </c>
      <c r="C25" s="28">
        <f t="shared" ca="1" si="5"/>
        <v>45655</v>
      </c>
      <c r="D25" s="10">
        <f t="shared" ca="1" si="0"/>
        <v>30</v>
      </c>
      <c r="E25" s="17">
        <f t="shared" ca="1" si="8"/>
        <v>106943.18251940684</v>
      </c>
      <c r="F25" s="17">
        <f t="shared" ca="1" si="9"/>
        <v>7063.8189767626791</v>
      </c>
      <c r="G25" s="17">
        <f ca="1">IF(C25=" "," ",IF(C25=$D$10,$D$6-SUM($G$19:G24),($D$11-H25)))</f>
        <v>1571.3810267814288</v>
      </c>
      <c r="H25" s="17">
        <f t="shared" ca="1" si="1"/>
        <v>5492.4379499812503</v>
      </c>
      <c r="I25" s="10">
        <f t="shared" ca="1" si="7"/>
        <v>0</v>
      </c>
      <c r="U25" s="31" t="str">
        <f ca="1">IF(B24=$D$4,XIRR($F$18:F24,$C$18:C24)," ")</f>
        <v xml:space="preserve"> </v>
      </c>
      <c r="V25" s="10">
        <f t="shared" ca="1" si="2"/>
        <v>2024</v>
      </c>
      <c r="W25" s="10">
        <f t="shared" ca="1" si="3"/>
        <v>366</v>
      </c>
    </row>
    <row r="26" spans="2:23" x14ac:dyDescent="0.25">
      <c r="B26" s="10">
        <f t="shared" ca="1" si="4"/>
        <v>8</v>
      </c>
      <c r="C26" s="28">
        <f t="shared" ca="1" si="5"/>
        <v>45686</v>
      </c>
      <c r="D26" s="10">
        <f t="shared" ca="1" si="0"/>
        <v>31</v>
      </c>
      <c r="E26" s="17">
        <f t="shared" ca="1" si="8"/>
        <v>105488.020724501</v>
      </c>
      <c r="F26" s="17">
        <f t="shared" ca="1" si="9"/>
        <v>7063.8189767626791</v>
      </c>
      <c r="G26" s="17">
        <f ca="1">IF(C26=" "," ",IF(C26=$D$10,$D$6-SUM($G$19:G25),($D$11-H26)))</f>
        <v>1455.1617949058418</v>
      </c>
      <c r="H26" s="17">
        <f t="shared" ca="1" si="1"/>
        <v>5608.6571818568373</v>
      </c>
      <c r="I26" s="10">
        <f t="shared" ca="1" si="7"/>
        <v>0</v>
      </c>
      <c r="U26" s="31" t="str">
        <f ca="1">IF(B25=$D$4,XIRR($F$18:F25,$C$18:C25)," ")</f>
        <v xml:space="preserve"> </v>
      </c>
      <c r="V26" s="10">
        <f t="shared" ca="1" si="2"/>
        <v>2025</v>
      </c>
      <c r="W26" s="10">
        <f t="shared" ca="1" si="3"/>
        <v>365</v>
      </c>
    </row>
    <row r="27" spans="2:23" x14ac:dyDescent="0.25">
      <c r="B27" s="10">
        <f t="shared" ca="1" si="4"/>
        <v>9</v>
      </c>
      <c r="C27" s="28">
        <f t="shared" ca="1" si="5"/>
        <v>45716</v>
      </c>
      <c r="D27" s="10">
        <f t="shared" ca="1" si="0"/>
        <v>30</v>
      </c>
      <c r="E27" s="17">
        <f t="shared" ca="1" si="8"/>
        <v>103778.08005985169</v>
      </c>
      <c r="F27" s="17">
        <f t="shared" ca="1" si="9"/>
        <v>7063.8189767626791</v>
      </c>
      <c r="G27" s="17">
        <f ca="1">IF(C27=" "," ",IF(C27=$D$10,$D$5-SUM($G$19:G26),($D$11-H27)))</f>
        <v>1709.9406646493062</v>
      </c>
      <c r="H27" s="17">
        <f t="shared" ca="1" si="1"/>
        <v>5353.8783121133729</v>
      </c>
      <c r="I27" s="10">
        <f t="shared" ca="1" si="7"/>
        <v>0</v>
      </c>
      <c r="U27" s="31" t="str">
        <f ca="1">IF(B26=$D$4,XIRR($F$18:F26,$C$18:C26)," ")</f>
        <v xml:space="preserve"> </v>
      </c>
      <c r="V27" s="10">
        <f t="shared" ca="1" si="2"/>
        <v>2025</v>
      </c>
      <c r="W27" s="10">
        <f t="shared" ca="1" si="3"/>
        <v>365</v>
      </c>
    </row>
    <row r="28" spans="2:23" x14ac:dyDescent="0.25">
      <c r="B28" s="10">
        <f t="shared" ca="1" si="4"/>
        <v>10</v>
      </c>
      <c r="C28" s="28">
        <f t="shared" ca="1" si="5"/>
        <v>45744</v>
      </c>
      <c r="D28" s="10">
        <f t="shared" ca="1" si="0"/>
        <v>28</v>
      </c>
      <c r="E28" s="17">
        <f t="shared" ca="1" si="8"/>
        <v>101630.21451934884</v>
      </c>
      <c r="F28" s="17">
        <f t="shared" ca="1" si="9"/>
        <v>7063.8189767626791</v>
      </c>
      <c r="G28" s="17">
        <f ca="1">IF(C28=" "," ",IF(C28=$D$10,$D$5-SUM($G$19:G27),($D$11-H28)))</f>
        <v>2147.8655405028549</v>
      </c>
      <c r="H28" s="17">
        <f t="shared" ca="1" si="1"/>
        <v>4915.9534362598242</v>
      </c>
      <c r="I28" s="10">
        <f t="shared" ca="1" si="7"/>
        <v>0</v>
      </c>
      <c r="U28" s="31" t="str">
        <f ca="1">IF(B27=$D$4,XIRR($F$18:F27,$C$18:C27)," ")</f>
        <v xml:space="preserve"> </v>
      </c>
      <c r="V28" s="10">
        <f t="shared" ca="1" si="2"/>
        <v>2025</v>
      </c>
      <c r="W28" s="10">
        <f t="shared" ca="1" si="3"/>
        <v>365</v>
      </c>
    </row>
    <row r="29" spans="2:23" x14ac:dyDescent="0.25">
      <c r="B29" s="10">
        <f t="shared" ca="1" si="4"/>
        <v>11</v>
      </c>
      <c r="C29" s="28">
        <f t="shared" ca="1" si="5"/>
        <v>45775</v>
      </c>
      <c r="D29" s="10">
        <f t="shared" ca="1" si="0"/>
        <v>31</v>
      </c>
      <c r="E29" s="17">
        <f t="shared" ca="1" si="8"/>
        <v>99896.413025974209</v>
      </c>
      <c r="F29" s="17">
        <f t="shared" ca="1" si="9"/>
        <v>7063.8189767626791</v>
      </c>
      <c r="G29" s="17">
        <f ca="1">IF(C29=" "," ",IF(C29=$D$10,$D$5-SUM($G$19:G28),($D$11-H29)))</f>
        <v>1733.8014933746372</v>
      </c>
      <c r="H29" s="17">
        <f t="shared" ca="1" si="1"/>
        <v>5330.0174833880419</v>
      </c>
      <c r="I29" s="10">
        <f t="shared" ca="1" si="7"/>
        <v>0</v>
      </c>
      <c r="U29" s="31" t="str">
        <f ca="1">IF(B28=$D$4,XIRR($F$18:F28,$C$18:C28)," ")</f>
        <v xml:space="preserve"> </v>
      </c>
      <c r="V29" s="10">
        <f t="shared" ca="1" si="2"/>
        <v>2025</v>
      </c>
      <c r="W29" s="10">
        <f t="shared" ca="1" si="3"/>
        <v>365</v>
      </c>
    </row>
    <row r="30" spans="2:23" x14ac:dyDescent="0.25">
      <c r="B30" s="10">
        <f t="shared" ca="1" si="4"/>
        <v>12</v>
      </c>
      <c r="C30" s="28">
        <f t="shared" ca="1" si="5"/>
        <v>45805</v>
      </c>
      <c r="D30" s="10">
        <f t="shared" ca="1" si="0"/>
        <v>30</v>
      </c>
      <c r="E30" s="17">
        <f t="shared" ca="1" si="8"/>
        <v>97902.679121283232</v>
      </c>
      <c r="F30" s="17">
        <f t="shared" ca="1" si="9"/>
        <v>7063.8189767626791</v>
      </c>
      <c r="G30" s="17">
        <f ca="1">IF(C30=" "," ",IF(C30=$D$10,$D$5-SUM($G$19:G29),($D$11-H30)))</f>
        <v>1993.7339046909747</v>
      </c>
      <c r="H30" s="17">
        <f t="shared" ca="1" si="1"/>
        <v>5070.0850720717044</v>
      </c>
      <c r="I30" s="10">
        <f t="shared" ca="1" si="7"/>
        <v>0</v>
      </c>
      <c r="U30" s="31" t="str">
        <f ca="1">IF(B29=$D$4,XIRR($F$18:F29,$C$18:C29)," ")</f>
        <v xml:space="preserve"> </v>
      </c>
      <c r="V30" s="10">
        <f t="shared" ca="1" si="2"/>
        <v>2025</v>
      </c>
      <c r="W30" s="10">
        <f t="shared" ca="1" si="3"/>
        <v>365</v>
      </c>
    </row>
    <row r="31" spans="2:23" x14ac:dyDescent="0.25">
      <c r="B31" s="10">
        <f t="shared" ca="1" si="4"/>
        <v>13</v>
      </c>
      <c r="C31" s="28">
        <f t="shared" ca="1" si="5"/>
        <v>45836</v>
      </c>
      <c r="D31" s="10">
        <f t="shared" ca="1" si="0"/>
        <v>31</v>
      </c>
      <c r="E31" s="17">
        <f t="shared" ca="1" si="8"/>
        <v>95973.386268025119</v>
      </c>
      <c r="F31" s="17">
        <f t="shared" ca="1" si="9"/>
        <v>7063.8189767626791</v>
      </c>
      <c r="G31" s="17">
        <f ca="1">IF(C31=" "," ",IF(C31=$D$10,$D$5-SUM($G$19:G30),($D$11-H31)))</f>
        <v>1929.2928532581191</v>
      </c>
      <c r="H31" s="17">
        <f t="shared" ca="1" si="1"/>
        <v>5134.52612350456</v>
      </c>
      <c r="I31" s="10">
        <f t="shared" ca="1" si="7"/>
        <v>0</v>
      </c>
      <c r="U31" s="31" t="str">
        <f ca="1">IF(B30=$D$4,XIRR($F$18:F30,$C$18:C30)," ")</f>
        <v xml:space="preserve"> </v>
      </c>
      <c r="V31" s="10">
        <f t="shared" ca="1" si="2"/>
        <v>2025</v>
      </c>
      <c r="W31" s="10">
        <f t="shared" ca="1" si="3"/>
        <v>365</v>
      </c>
    </row>
    <row r="32" spans="2:23" x14ac:dyDescent="0.25">
      <c r="B32" s="10">
        <f t="shared" ca="1" si="4"/>
        <v>14</v>
      </c>
      <c r="C32" s="28">
        <f t="shared" ca="1" si="5"/>
        <v>45866</v>
      </c>
      <c r="D32" s="10">
        <f t="shared" ca="1" si="0"/>
        <v>30</v>
      </c>
      <c r="E32" s="17">
        <f t="shared" ca="1" si="8"/>
        <v>93780.545320345089</v>
      </c>
      <c r="F32" s="17">
        <f t="shared" ca="1" si="9"/>
        <v>7063.8189767626791</v>
      </c>
      <c r="G32" s="17">
        <f ca="1">IF(C32=" "," ",IF(C32=$D$10,$D$5-SUM($G$19:G31),($D$11-H32)))</f>
        <v>2192.8409476800334</v>
      </c>
      <c r="H32" s="17">
        <f ca="1">IF(D32=" "," ",E31*$D$7*D32/W32)</f>
        <v>4870.9780290826457</v>
      </c>
      <c r="I32" s="10">
        <f t="shared" ca="1" si="7"/>
        <v>0</v>
      </c>
      <c r="U32" s="31" t="str">
        <f ca="1">IF(B31=$D$4,XIRR($F$18:F31,$C$18:C31)," ")</f>
        <v xml:space="preserve"> </v>
      </c>
      <c r="V32" s="10">
        <f t="shared" ca="1" si="2"/>
        <v>2025</v>
      </c>
      <c r="W32" s="10">
        <f t="shared" ca="1" si="3"/>
        <v>365</v>
      </c>
    </row>
    <row r="33" spans="2:23" x14ac:dyDescent="0.25">
      <c r="B33" s="10">
        <f t="shared" ca="1" si="4"/>
        <v>15</v>
      </c>
      <c r="C33" s="28">
        <f t="shared" ca="1" si="5"/>
        <v>45897</v>
      </c>
      <c r="D33" s="10">
        <f t="shared" ca="1" si="0"/>
        <v>31</v>
      </c>
      <c r="E33" s="17">
        <f t="shared" ca="1" si="8"/>
        <v>91635.066312882976</v>
      </c>
      <c r="F33" s="17">
        <f t="shared" ca="1" si="9"/>
        <v>7063.8189767626791</v>
      </c>
      <c r="G33" s="17">
        <f ca="1">IF(C33=" "," ",IF(C33=$D$10,$D$5-SUM($G$19:G32),($D$11-H33)))</f>
        <v>2145.4790074621151</v>
      </c>
      <c r="H33" s="17">
        <f t="shared" ref="H33:H67" ca="1" si="10">IF(D33=" "," ",E32*$D$7*D33/W33)</f>
        <v>4918.339969300564</v>
      </c>
      <c r="I33" s="10">
        <f t="shared" ca="1" si="7"/>
        <v>0</v>
      </c>
      <c r="U33" s="31" t="str">
        <f ca="1">IF(B32=$D$4,XIRR($F$18:F32,$C$18:C32)," ")</f>
        <v xml:space="preserve"> </v>
      </c>
      <c r="V33" s="10">
        <f t="shared" ca="1" si="2"/>
        <v>2025</v>
      </c>
      <c r="W33" s="10">
        <f t="shared" ca="1" si="3"/>
        <v>365</v>
      </c>
    </row>
    <row r="34" spans="2:23" x14ac:dyDescent="0.25">
      <c r="B34" s="10">
        <f t="shared" ca="1" si="4"/>
        <v>16</v>
      </c>
      <c r="C34" s="28">
        <f t="shared" ca="1" si="5"/>
        <v>45928</v>
      </c>
      <c r="D34" s="10">
        <f t="shared" ca="1" si="0"/>
        <v>31</v>
      </c>
      <c r="E34" s="17">
        <f t="shared" ca="1" si="8"/>
        <v>89377.067218022654</v>
      </c>
      <c r="F34" s="17">
        <f t="shared" ca="1" si="9"/>
        <v>7063.8189767626791</v>
      </c>
      <c r="G34" s="17">
        <f ca="1">IF(C34=" "," ",IF(C34=$D$10,$D$5-SUM($G$19:G33),($D$11-H34)))</f>
        <v>2257.9990948603154</v>
      </c>
      <c r="H34" s="17">
        <f t="shared" ca="1" si="10"/>
        <v>4805.8198819023637</v>
      </c>
      <c r="I34" s="10">
        <f t="shared" ca="1" si="7"/>
        <v>0</v>
      </c>
      <c r="U34" s="31" t="str">
        <f ca="1">IF(B33=$D$4,XIRR($F$18:F33,$C$18:C33)," ")</f>
        <v xml:space="preserve"> </v>
      </c>
      <c r="V34" s="10">
        <f t="shared" ca="1" si="2"/>
        <v>2025</v>
      </c>
      <c r="W34" s="10">
        <f t="shared" ca="1" si="3"/>
        <v>365</v>
      </c>
    </row>
    <row r="35" spans="2:23" x14ac:dyDescent="0.25">
      <c r="B35" s="10">
        <f t="shared" ca="1" si="4"/>
        <v>17</v>
      </c>
      <c r="C35" s="28">
        <f t="shared" ca="1" si="5"/>
        <v>45958</v>
      </c>
      <c r="D35" s="10">
        <f t="shared" ca="1" si="0"/>
        <v>30</v>
      </c>
      <c r="E35" s="17">
        <f t="shared" ca="1" si="8"/>
        <v>86849.440488421256</v>
      </c>
      <c r="F35" s="17">
        <f t="shared" ca="1" si="9"/>
        <v>7063.8189767626791</v>
      </c>
      <c r="G35" s="17">
        <f ca="1">IF(C35=" "," ",IF(C35=$D$10,$D$5-SUM($G$19:G34),($D$11-H35)))</f>
        <v>2527.6267296013921</v>
      </c>
      <c r="H35" s="17">
        <f t="shared" ca="1" si="10"/>
        <v>4536.192247161287</v>
      </c>
      <c r="I35" s="10">
        <f t="shared" ca="1" si="7"/>
        <v>0</v>
      </c>
      <c r="U35" s="31" t="str">
        <f ca="1">IF(B34=$D$4,XIRR($F$18:F34,$C$18:C34)," ")</f>
        <v xml:space="preserve"> </v>
      </c>
      <c r="V35" s="10">
        <f t="shared" ca="1" si="2"/>
        <v>2025</v>
      </c>
      <c r="W35" s="10">
        <f t="shared" ca="1" si="3"/>
        <v>365</v>
      </c>
    </row>
    <row r="36" spans="2:23" x14ac:dyDescent="0.25">
      <c r="B36" s="10">
        <f t="shared" ca="1" si="4"/>
        <v>18</v>
      </c>
      <c r="C36" s="28">
        <f t="shared" ca="1" si="5"/>
        <v>45989</v>
      </c>
      <c r="D36" s="10">
        <f t="shared" ca="1" si="0"/>
        <v>31</v>
      </c>
      <c r="E36" s="17">
        <f t="shared" ca="1" si="8"/>
        <v>84340.458263849272</v>
      </c>
      <c r="F36" s="17">
        <f t="shared" ca="1" si="9"/>
        <v>7063.8189767626791</v>
      </c>
      <c r="G36" s="17">
        <f ca="1">IF(C36=" "," ",IF(C36=$D$10,$D$5-SUM($G$19:G35),($D$11-H36)))</f>
        <v>2508.9822245719834</v>
      </c>
      <c r="H36" s="17">
        <f t="shared" ca="1" si="10"/>
        <v>4554.8367521906957</v>
      </c>
      <c r="I36" s="10">
        <f t="shared" ca="1" si="7"/>
        <v>0</v>
      </c>
      <c r="U36" s="31" t="str">
        <f ca="1">IF(B35=$D$4,XIRR($F$18:F35,$C$18:C35)," ")</f>
        <v xml:space="preserve"> </v>
      </c>
      <c r="V36" s="10">
        <f t="shared" ca="1" si="2"/>
        <v>2025</v>
      </c>
      <c r="W36" s="10">
        <f t="shared" ca="1" si="3"/>
        <v>365</v>
      </c>
    </row>
    <row r="37" spans="2:23" x14ac:dyDescent="0.25">
      <c r="B37" s="10">
        <f t="shared" ca="1" si="4"/>
        <v>19</v>
      </c>
      <c r="C37" s="28">
        <f t="shared" ca="1" si="5"/>
        <v>46019</v>
      </c>
      <c r="D37" s="10">
        <f t="shared" ca="1" si="0"/>
        <v>30</v>
      </c>
      <c r="E37" s="17">
        <f t="shared" ca="1" si="8"/>
        <v>81557.206381162774</v>
      </c>
      <c r="F37" s="17">
        <f t="shared" ca="1" si="9"/>
        <v>7063.8189767626791</v>
      </c>
      <c r="G37" s="17">
        <f ca="1">IF(C37=" "," ",IF(C37=$D$10,$D$5-SUM($G$19:G36),($D$11-H37)))</f>
        <v>2783.2518826864934</v>
      </c>
      <c r="H37" s="17">
        <f t="shared" ca="1" si="10"/>
        <v>4280.5670940761856</v>
      </c>
      <c r="I37" s="10">
        <f t="shared" ca="1" si="7"/>
        <v>0</v>
      </c>
      <c r="U37" s="31" t="str">
        <f ca="1">IF(B36=$D$4,XIRR($F$18:F36,$C$18:C36)," ")</f>
        <v xml:space="preserve"> </v>
      </c>
      <c r="V37" s="10">
        <f t="shared" ca="1" si="2"/>
        <v>2025</v>
      </c>
      <c r="W37" s="10">
        <f t="shared" ca="1" si="3"/>
        <v>365</v>
      </c>
    </row>
    <row r="38" spans="2:23" x14ac:dyDescent="0.25">
      <c r="B38" s="10">
        <f t="shared" ca="1" si="4"/>
        <v>20</v>
      </c>
      <c r="C38" s="28">
        <f t="shared" ca="1" si="5"/>
        <v>46050</v>
      </c>
      <c r="D38" s="10">
        <f t="shared" ca="1" si="0"/>
        <v>31</v>
      </c>
      <c r="E38" s="17">
        <f t="shared" ca="1" si="8"/>
        <v>78770.67185139026</v>
      </c>
      <c r="F38" s="17">
        <f t="shared" ca="1" si="9"/>
        <v>7063.8189767626791</v>
      </c>
      <c r="G38" s="17">
        <f ca="1">IF(C38=" "," ",IF(C38=$D$10,$D$5-SUM($G$19:G37),($D$11-H38)))</f>
        <v>2786.5345297725189</v>
      </c>
      <c r="H38" s="17">
        <f t="shared" ca="1" si="10"/>
        <v>4277.2844469901602</v>
      </c>
      <c r="I38" s="10">
        <f t="shared" ca="1" si="7"/>
        <v>0</v>
      </c>
      <c r="U38" s="31" t="str">
        <f ca="1">IF(B37=$D$4,XIRR($F$18:F37,$C$18:C37)," ")</f>
        <v xml:space="preserve"> </v>
      </c>
      <c r="V38" s="10">
        <f t="shared" ca="1" si="2"/>
        <v>2026</v>
      </c>
      <c r="W38" s="10">
        <f t="shared" ca="1" si="3"/>
        <v>365</v>
      </c>
    </row>
    <row r="39" spans="2:23" x14ac:dyDescent="0.25">
      <c r="B39" s="10">
        <f t="shared" ca="1" si="4"/>
        <v>21</v>
      </c>
      <c r="C39" s="28">
        <f t="shared" ca="1" si="5"/>
        <v>46081</v>
      </c>
      <c r="D39" s="10">
        <f t="shared" ca="1" si="0"/>
        <v>31</v>
      </c>
      <c r="E39" s="17">
        <f t="shared" ca="1" si="8"/>
        <v>75837.996945628227</v>
      </c>
      <c r="F39" s="17">
        <f t="shared" ca="1" si="9"/>
        <v>7063.8189767626791</v>
      </c>
      <c r="G39" s="17">
        <f ca="1">IF(C39=" "," ",IF(C39=$D$10,$D$5-SUM($G$19:G38),($D$11-H39)))</f>
        <v>2932.6749057620264</v>
      </c>
      <c r="H39" s="17">
        <f t="shared" ca="1" si="10"/>
        <v>4131.1440710006527</v>
      </c>
      <c r="I39" s="10">
        <f t="shared" ca="1" si="7"/>
        <v>0</v>
      </c>
      <c r="U39" s="31" t="str">
        <f ca="1">IF(B38=$D$4,XIRR($F$18:F38,$C$18:C38)," ")</f>
        <v xml:space="preserve"> </v>
      </c>
      <c r="V39" s="10">
        <f t="shared" ca="1" si="2"/>
        <v>2026</v>
      </c>
      <c r="W39" s="10">
        <f t="shared" ca="1" si="3"/>
        <v>365</v>
      </c>
    </row>
    <row r="40" spans="2:23" x14ac:dyDescent="0.25">
      <c r="B40" s="10">
        <f t="shared" ca="1" si="4"/>
        <v>22</v>
      </c>
      <c r="C40" s="28">
        <f t="shared" ca="1" si="5"/>
        <v>46109</v>
      </c>
      <c r="D40" s="10">
        <f t="shared" ca="1" si="0"/>
        <v>28</v>
      </c>
      <c r="E40" s="17">
        <f t="shared" ca="1" si="8"/>
        <v>72366.613495413258</v>
      </c>
      <c r="F40" s="17">
        <f t="shared" ca="1" si="9"/>
        <v>7063.8189767626791</v>
      </c>
      <c r="G40" s="17">
        <f ca="1">IF(C40=" "," ",IF(C40=$D$10,$D$5-SUM($G$19:G39),($D$11-H40)))</f>
        <v>3471.3834502149743</v>
      </c>
      <c r="H40" s="17">
        <f t="shared" ca="1" si="10"/>
        <v>3592.4355265477047</v>
      </c>
      <c r="I40" s="10">
        <f t="shared" ca="1" si="7"/>
        <v>0</v>
      </c>
      <c r="U40" s="31" t="str">
        <f ca="1">IF(B39=$D$4,XIRR($F$18:F39,$C$18:C39)," ")</f>
        <v xml:space="preserve"> </v>
      </c>
      <c r="V40" s="10">
        <f t="shared" ca="1" si="2"/>
        <v>2026</v>
      </c>
      <c r="W40" s="10">
        <f t="shared" ca="1" si="3"/>
        <v>365</v>
      </c>
    </row>
    <row r="41" spans="2:23" x14ac:dyDescent="0.25">
      <c r="B41" s="10">
        <f t="shared" ca="1" si="4"/>
        <v>23</v>
      </c>
      <c r="C41" s="28">
        <f t="shared" ca="1" si="5"/>
        <v>46140</v>
      </c>
      <c r="D41" s="10">
        <f t="shared" ca="1" si="0"/>
        <v>31</v>
      </c>
      <c r="E41" s="17">
        <f t="shared" ca="1" si="8"/>
        <v>69098.076433269613</v>
      </c>
      <c r="F41" s="17">
        <f t="shared" ca="1" si="9"/>
        <v>7063.8189767626791</v>
      </c>
      <c r="G41" s="17">
        <f ca="1">IF(C41=" "," ",IF(C41=$D$10,$D$5-SUM($G$19:G40),($D$11-H41)))</f>
        <v>3268.5370621436423</v>
      </c>
      <c r="H41" s="17">
        <f t="shared" ca="1" si="10"/>
        <v>3795.2819146190368</v>
      </c>
      <c r="I41" s="10">
        <f t="shared" ca="1" si="7"/>
        <v>0</v>
      </c>
      <c r="U41" s="31" t="str">
        <f ca="1">IF(B40=$D$4,XIRR($F$18:F40,$C$18:C40)," ")</f>
        <v xml:space="preserve"> </v>
      </c>
      <c r="V41" s="10">
        <f t="shared" ca="1" si="2"/>
        <v>2026</v>
      </c>
      <c r="W41" s="10">
        <f t="shared" ca="1" si="3"/>
        <v>365</v>
      </c>
    </row>
    <row r="42" spans="2:23" x14ac:dyDescent="0.25">
      <c r="B42" s="10">
        <f t="shared" ca="1" si="4"/>
        <v>24</v>
      </c>
      <c r="C42" s="28">
        <f t="shared" ca="1" si="5"/>
        <v>46170</v>
      </c>
      <c r="D42" s="10">
        <f t="shared" ca="1" si="0"/>
        <v>30</v>
      </c>
      <c r="E42" s="17">
        <f t="shared" ca="1" si="8"/>
        <v>65541.221472743418</v>
      </c>
      <c r="F42" s="17">
        <f t="shared" ca="1" si="9"/>
        <v>7063.8189767626791</v>
      </c>
      <c r="G42" s="17">
        <f ca="1">IF(C42=" "," ",IF(C42=$D$10,$D$5-SUM($G$19:G41),($D$11-H42)))</f>
        <v>3556.8549605261874</v>
      </c>
      <c r="H42" s="17">
        <f t="shared" ca="1" si="10"/>
        <v>3506.9640162364917</v>
      </c>
      <c r="I42" s="10">
        <f t="shared" ca="1" si="7"/>
        <v>0</v>
      </c>
      <c r="U42" s="31" t="str">
        <f ca="1">IF(B41=$D$4,XIRR($F$18:F41,$C$18:C41)," ")</f>
        <v xml:space="preserve"> </v>
      </c>
      <c r="V42" s="10">
        <f t="shared" ca="1" si="2"/>
        <v>2026</v>
      </c>
      <c r="W42" s="10">
        <f t="shared" ca="1" si="3"/>
        <v>365</v>
      </c>
    </row>
    <row r="43" spans="2:23" x14ac:dyDescent="0.25">
      <c r="B43" s="10">
        <f t="shared" ca="1" si="4"/>
        <v>25</v>
      </c>
      <c r="C43" s="28">
        <f t="shared" ca="1" si="5"/>
        <v>46201</v>
      </c>
      <c r="D43" s="10">
        <f t="shared" ca="1" si="0"/>
        <v>31</v>
      </c>
      <c r="E43" s="17">
        <f ca="1">IF(C43=" "," ",E42-G43)</f>
        <v>61914.725323493039</v>
      </c>
      <c r="F43" s="17">
        <f t="shared" ca="1" si="9"/>
        <v>7063.8189767626791</v>
      </c>
      <c r="G43" s="17">
        <f ca="1">IF(C43=" "," ",IF(C43=$D$10,$D$5-SUM($G$19:G42),($D$11-H43)))</f>
        <v>3626.4961492503753</v>
      </c>
      <c r="H43" s="17">
        <f t="shared" ca="1" si="10"/>
        <v>3437.3228275123038</v>
      </c>
      <c r="I43" s="10">
        <f t="shared" ca="1" si="7"/>
        <v>0</v>
      </c>
      <c r="U43" s="31" t="str">
        <f ca="1">IF(B42=$D$4,XIRR($F$18:F42,$C$18:C42)," ")</f>
        <v xml:space="preserve"> </v>
      </c>
      <c r="V43" s="10">
        <f t="shared" ca="1" si="2"/>
        <v>2026</v>
      </c>
      <c r="W43" s="10">
        <f t="shared" ca="1" si="3"/>
        <v>365</v>
      </c>
    </row>
    <row r="44" spans="2:23" x14ac:dyDescent="0.25">
      <c r="B44" s="10">
        <f t="shared" ca="1" si="4"/>
        <v>26</v>
      </c>
      <c r="C44" s="28">
        <f t="shared" ca="1" si="5"/>
        <v>46231</v>
      </c>
      <c r="D44" s="10">
        <f t="shared" ca="1" si="0"/>
        <v>30</v>
      </c>
      <c r="E44" s="17">
        <f t="shared" ref="E44:E88" ca="1" si="11">IF(C44=" "," ",E43-G44)</f>
        <v>57993.290693628194</v>
      </c>
      <c r="F44" s="17">
        <f t="shared" ca="1" si="9"/>
        <v>7063.8189767626791</v>
      </c>
      <c r="G44" s="17">
        <f ca="1">IF(C44=" "," ",IF(C44=$D$10,$D$5-SUM($G$19:G43),($D$11-H44)))</f>
        <v>3921.434629864847</v>
      </c>
      <c r="H44" s="17">
        <f t="shared" ca="1" si="10"/>
        <v>3142.3843468978321</v>
      </c>
      <c r="I44" s="10">
        <f t="shared" ca="1" si="7"/>
        <v>0</v>
      </c>
      <c r="U44" s="31" t="str">
        <f ca="1">IF(B43=$D$4,XIRR($F$18:F43,$C$18:C43)," ")</f>
        <v xml:space="preserve"> </v>
      </c>
      <c r="V44" s="10">
        <f t="shared" ca="1" si="2"/>
        <v>2026</v>
      </c>
      <c r="W44" s="10">
        <f t="shared" ca="1" si="3"/>
        <v>365</v>
      </c>
    </row>
    <row r="45" spans="2:23" x14ac:dyDescent="0.25">
      <c r="B45" s="10">
        <f t="shared" ca="1" si="4"/>
        <v>27</v>
      </c>
      <c r="C45" s="28">
        <f t="shared" ca="1" si="5"/>
        <v>46262</v>
      </c>
      <c r="D45" s="10">
        <f t="shared" ca="1" si="0"/>
        <v>31</v>
      </c>
      <c r="E45" s="17">
        <f t="shared" ca="1" si="11"/>
        <v>53970.94176372244</v>
      </c>
      <c r="F45" s="17">
        <f t="shared" ca="1" si="9"/>
        <v>7063.8189767626791</v>
      </c>
      <c r="G45" s="17">
        <f ca="1">IF(C45=" "," ",IF(C45=$D$10,$D$5-SUM($G$19:G44),($D$11-H45)))</f>
        <v>4022.3489299057537</v>
      </c>
      <c r="H45" s="17">
        <f t="shared" ca="1" si="10"/>
        <v>3041.4700468569254</v>
      </c>
      <c r="I45" s="10">
        <f t="shared" ca="1" si="7"/>
        <v>0</v>
      </c>
      <c r="U45" s="31" t="str">
        <f ca="1">IF(B44=$D$4,XIRR($F$18:F44,$C$18:C44)," ")</f>
        <v xml:space="preserve"> </v>
      </c>
      <c r="V45" s="10">
        <f t="shared" ca="1" si="2"/>
        <v>2026</v>
      </c>
      <c r="W45" s="10">
        <f t="shared" ca="1" si="3"/>
        <v>365</v>
      </c>
    </row>
    <row r="46" spans="2:23" x14ac:dyDescent="0.25">
      <c r="B46" s="10">
        <f t="shared" ca="1" si="4"/>
        <v>28</v>
      </c>
      <c r="C46" s="28">
        <f t="shared" ca="1" si="5"/>
        <v>46293</v>
      </c>
      <c r="D46" s="10">
        <f t="shared" ca="1" si="0"/>
        <v>31</v>
      </c>
      <c r="E46" s="17">
        <f t="shared" ca="1" si="11"/>
        <v>49737.639917677727</v>
      </c>
      <c r="F46" s="17">
        <f t="shared" ca="1" si="9"/>
        <v>7063.8189767626791</v>
      </c>
      <c r="G46" s="17">
        <f ca="1">IF(C46=" "," ",IF(C46=$D$10,$D$5-SUM($G$19:G45),($D$11-H46)))</f>
        <v>4233.3018460447147</v>
      </c>
      <c r="H46" s="17">
        <f t="shared" ca="1" si="10"/>
        <v>2830.5171307179639</v>
      </c>
      <c r="I46" s="10">
        <f t="shared" ca="1" si="7"/>
        <v>0</v>
      </c>
      <c r="U46" s="31" t="str">
        <f ca="1">IF(B45=$D$4,XIRR($F$18:F45,$C$18:C45)," ")</f>
        <v xml:space="preserve"> </v>
      </c>
      <c r="V46" s="10">
        <f t="shared" ca="1" si="2"/>
        <v>2026</v>
      </c>
      <c r="W46" s="10">
        <f t="shared" ca="1" si="3"/>
        <v>365</v>
      </c>
    </row>
    <row r="47" spans="2:23" x14ac:dyDescent="0.25">
      <c r="B47" s="10">
        <f t="shared" ca="1" si="4"/>
        <v>29</v>
      </c>
      <c r="C47" s="28">
        <f t="shared" ca="1" si="5"/>
        <v>46323</v>
      </c>
      <c r="D47" s="10">
        <f t="shared" ca="1" si="0"/>
        <v>30</v>
      </c>
      <c r="E47" s="17">
        <f t="shared" ca="1" si="11"/>
        <v>45198.17650112047</v>
      </c>
      <c r="F47" s="17">
        <f t="shared" ca="1" si="9"/>
        <v>7063.8189767626791</v>
      </c>
      <c r="G47" s="17">
        <f ca="1">IF(C47=" "," ",IF(C47=$D$10,$D$5-SUM($G$19:G46),($D$11-H47)))</f>
        <v>4539.4634165572552</v>
      </c>
      <c r="H47" s="17">
        <f t="shared" ca="1" si="10"/>
        <v>2524.3555602054244</v>
      </c>
      <c r="I47" s="10">
        <f t="shared" ca="1" si="7"/>
        <v>0</v>
      </c>
      <c r="U47" s="31" t="str">
        <f ca="1">IF(B46=$D$4,XIRR($F$18:F46,$C$18:C46)," ")</f>
        <v xml:space="preserve"> </v>
      </c>
      <c r="V47" s="10">
        <f t="shared" ca="1" si="2"/>
        <v>2026</v>
      </c>
      <c r="W47" s="10">
        <f t="shared" ca="1" si="3"/>
        <v>365</v>
      </c>
    </row>
    <row r="48" spans="2:23" x14ac:dyDescent="0.25">
      <c r="B48" s="10">
        <f t="shared" ca="1" si="4"/>
        <v>30</v>
      </c>
      <c r="C48" s="28">
        <f t="shared" ca="1" si="5"/>
        <v>46354</v>
      </c>
      <c r="D48" s="10">
        <f t="shared" ca="1" si="0"/>
        <v>31</v>
      </c>
      <c r="E48" s="17">
        <f t="shared" ca="1" si="11"/>
        <v>40504.785178255595</v>
      </c>
      <c r="F48" s="17">
        <f t="shared" ca="1" si="9"/>
        <v>7063.8189767626791</v>
      </c>
      <c r="G48" s="17">
        <f ca="1">IF(C48=" "," ",IF(C48=$D$10,$D$5-SUM($G$19:G47),($D$11-H48)))</f>
        <v>4693.3913228648744</v>
      </c>
      <c r="H48" s="17">
        <f t="shared" ca="1" si="10"/>
        <v>2370.4276538978047</v>
      </c>
      <c r="I48" s="10">
        <f t="shared" ca="1" si="7"/>
        <v>0</v>
      </c>
      <c r="U48" s="31" t="str">
        <f ca="1">IF(B47=$D$4,XIRR($F$18:F47,$C$18:C47)," ")</f>
        <v xml:space="preserve"> </v>
      </c>
      <c r="V48" s="10">
        <f t="shared" ca="1" si="2"/>
        <v>2026</v>
      </c>
      <c r="W48" s="10">
        <f t="shared" ca="1" si="3"/>
        <v>365</v>
      </c>
    </row>
    <row r="49" spans="2:23" x14ac:dyDescent="0.25">
      <c r="B49" s="10">
        <f t="shared" ca="1" si="4"/>
        <v>31</v>
      </c>
      <c r="C49" s="28">
        <f t="shared" ca="1" si="5"/>
        <v>46384</v>
      </c>
      <c r="D49" s="10">
        <f t="shared" ca="1" si="0"/>
        <v>30</v>
      </c>
      <c r="E49" s="17">
        <f t="shared" ca="1" si="11"/>
        <v>35496.722764307124</v>
      </c>
      <c r="F49" s="17">
        <f t="shared" ca="1" si="9"/>
        <v>7063.8189767626791</v>
      </c>
      <c r="G49" s="17">
        <f ca="1">IF(C49=" "," ",IF(C49=$D$10,$D$5-SUM($G$19:G48),($D$11-H49)))</f>
        <v>5008.0624139484735</v>
      </c>
      <c r="H49" s="17">
        <f t="shared" ca="1" si="10"/>
        <v>2055.7565628142056</v>
      </c>
      <c r="I49" s="10">
        <f t="shared" ca="1" si="7"/>
        <v>0</v>
      </c>
      <c r="U49" s="31" t="str">
        <f ca="1">IF(B48=$D$4,XIRR($F$18:F48,$C$18:C48)," ")</f>
        <v xml:space="preserve"> </v>
      </c>
      <c r="V49" s="10">
        <f t="shared" ca="1" si="2"/>
        <v>2026</v>
      </c>
      <c r="W49" s="10">
        <f t="shared" ca="1" si="3"/>
        <v>365</v>
      </c>
    </row>
    <row r="50" spans="2:23" x14ac:dyDescent="0.25">
      <c r="B50" s="10">
        <f t="shared" ca="1" si="4"/>
        <v>32</v>
      </c>
      <c r="C50" s="28">
        <f t="shared" ca="1" si="5"/>
        <v>46415</v>
      </c>
      <c r="D50" s="10">
        <f t="shared" ca="1" si="0"/>
        <v>31</v>
      </c>
      <c r="E50" s="17">
        <f t="shared" ca="1" si="11"/>
        <v>30294.536706765677</v>
      </c>
      <c r="F50" s="17">
        <f t="shared" ca="1" si="9"/>
        <v>7063.8189767626791</v>
      </c>
      <c r="G50" s="17">
        <f ca="1">IF(C50=" "," ",IF(C50=$D$10,$D$5-SUM($G$19:G49),($D$11-H50)))</f>
        <v>5202.1860575414485</v>
      </c>
      <c r="H50" s="17">
        <f t="shared" ca="1" si="10"/>
        <v>1861.6329192212308</v>
      </c>
      <c r="I50" s="10">
        <f t="shared" ca="1" si="7"/>
        <v>0</v>
      </c>
      <c r="U50" s="31" t="str">
        <f ca="1">IF(B49=$D$4,XIRR($F$18:F49,$C$18:C49)," ")</f>
        <v xml:space="preserve"> </v>
      </c>
      <c r="V50" s="10">
        <f t="shared" ca="1" si="2"/>
        <v>2027</v>
      </c>
      <c r="W50" s="10">
        <f t="shared" ca="1" si="3"/>
        <v>365</v>
      </c>
    </row>
    <row r="51" spans="2:23" x14ac:dyDescent="0.25">
      <c r="B51" s="10">
        <f t="shared" ca="1" si="4"/>
        <v>33</v>
      </c>
      <c r="C51" s="28">
        <f t="shared" ca="1" si="5"/>
        <v>46446</v>
      </c>
      <c r="D51" s="10">
        <f t="shared" ca="1" si="0"/>
        <v>31</v>
      </c>
      <c r="E51" s="17">
        <f t="shared" ca="1" si="11"/>
        <v>24819.520932494128</v>
      </c>
      <c r="F51" s="17">
        <f t="shared" ca="1" si="9"/>
        <v>7063.8189767626791</v>
      </c>
      <c r="G51" s="17">
        <f ca="1">IF(C51=" "," ",IF(C51=$D$10,$D$5-SUM($G$19:G50),($D$11-H51)))</f>
        <v>5475.0157742715501</v>
      </c>
      <c r="H51" s="17">
        <f t="shared" ca="1" si="10"/>
        <v>1588.803202491129</v>
      </c>
      <c r="I51" s="10">
        <f t="shared" ca="1" si="7"/>
        <v>0</v>
      </c>
      <c r="U51" s="31" t="str">
        <f ca="1">IF(B50=$D$4,XIRR($F$18:F50,$C$18:C50)," ")</f>
        <v xml:space="preserve"> </v>
      </c>
      <c r="V51" s="10">
        <f t="shared" ca="1" si="2"/>
        <v>2027</v>
      </c>
      <c r="W51" s="10">
        <f t="shared" ca="1" si="3"/>
        <v>365</v>
      </c>
    </row>
    <row r="52" spans="2:23" x14ac:dyDescent="0.25">
      <c r="B52" s="10">
        <f t="shared" ca="1" si="4"/>
        <v>34</v>
      </c>
      <c r="C52" s="28">
        <f t="shared" ca="1" si="5"/>
        <v>46474</v>
      </c>
      <c r="D52" s="10">
        <f t="shared" ca="1" si="0"/>
        <v>28</v>
      </c>
      <c r="E52" s="17">
        <f t="shared" ca="1" si="11"/>
        <v>18931.399262369319</v>
      </c>
      <c r="F52" s="17">
        <f t="shared" ca="1" si="9"/>
        <v>7063.8189767626791</v>
      </c>
      <c r="G52" s="17">
        <f ca="1">IF(C52=" "," ",IF(C52=$D$10,$D$5-SUM($G$19:G51),($D$11-H52)))</f>
        <v>5888.1216701248068</v>
      </c>
      <c r="H52" s="17">
        <f t="shared" ca="1" si="10"/>
        <v>1175.6973066378725</v>
      </c>
      <c r="I52" s="10">
        <f t="shared" ca="1" si="7"/>
        <v>0</v>
      </c>
      <c r="U52" s="31" t="str">
        <f ca="1">IF(B51=$D$4,XIRR($F$18:F51,$C$18:C51)," ")</f>
        <v xml:space="preserve"> </v>
      </c>
      <c r="V52" s="10">
        <f t="shared" ca="1" si="2"/>
        <v>2027</v>
      </c>
      <c r="W52" s="10">
        <f t="shared" ca="1" si="3"/>
        <v>365</v>
      </c>
    </row>
    <row r="53" spans="2:23" x14ac:dyDescent="0.25">
      <c r="B53" s="10">
        <f t="shared" ca="1" si="4"/>
        <v>35</v>
      </c>
      <c r="C53" s="28">
        <f t="shared" ca="1" si="5"/>
        <v>46505</v>
      </c>
      <c r="D53" s="10">
        <f t="shared" ca="1" si="0"/>
        <v>31</v>
      </c>
      <c r="E53" s="17">
        <f t="shared" ca="1" si="11"/>
        <v>12860.441409935145</v>
      </c>
      <c r="F53" s="17">
        <f t="shared" ca="1" si="9"/>
        <v>7063.8189767626791</v>
      </c>
      <c r="G53" s="17">
        <f ca="1">IF(C53=" "," ",IF(C53=$D$10,$D$5-SUM($G$19:G52),($D$11-H53)))</f>
        <v>6070.9578524341732</v>
      </c>
      <c r="H53" s="17">
        <f t="shared" ca="1" si="10"/>
        <v>992.86112432850621</v>
      </c>
      <c r="I53" s="10">
        <f t="shared" ca="1" si="7"/>
        <v>0</v>
      </c>
      <c r="U53" s="31" t="str">
        <f ca="1">IF(B52=$D$4,XIRR($F$18:F52,$C$18:C52)," ")</f>
        <v xml:space="preserve"> </v>
      </c>
      <c r="V53" s="10">
        <f t="shared" ca="1" si="2"/>
        <v>2027</v>
      </c>
      <c r="W53" s="10">
        <f t="shared" ca="1" si="3"/>
        <v>365</v>
      </c>
    </row>
    <row r="54" spans="2:23" x14ac:dyDescent="0.25">
      <c r="B54" s="10">
        <f t="shared" ca="1" si="4"/>
        <v>36</v>
      </c>
      <c r="C54" s="28">
        <f t="shared" ca="1" si="5"/>
        <v>46535</v>
      </c>
      <c r="D54" s="10">
        <f t="shared" ca="1" si="0"/>
        <v>30</v>
      </c>
      <c r="E54" s="17">
        <f t="shared" ca="1" si="11"/>
        <v>6449.333877334243</v>
      </c>
      <c r="F54" s="17">
        <f t="shared" ca="1" si="9"/>
        <v>7063.8189767626791</v>
      </c>
      <c r="G54" s="17">
        <f ca="1">IF(C54=" "," ",IF(C54=$D$10,$D$5-SUM($G$19:G53),($D$11-H54)))</f>
        <v>6411.1075326009022</v>
      </c>
      <c r="H54" s="17">
        <f t="shared" ca="1" si="10"/>
        <v>652.71144416177697</v>
      </c>
      <c r="I54" s="10">
        <f t="shared" ca="1" si="7"/>
        <v>0</v>
      </c>
      <c r="U54" s="31" t="str">
        <f ca="1">IF(B53=$D$4,XIRR($F$18:F53,$C$18:C53)," ")</f>
        <v xml:space="preserve"> </v>
      </c>
      <c r="V54" s="10">
        <f t="shared" ca="1" si="2"/>
        <v>2027</v>
      </c>
      <c r="W54" s="10">
        <f t="shared" ca="1" si="3"/>
        <v>365</v>
      </c>
    </row>
    <row r="55" spans="2:23" x14ac:dyDescent="0.25">
      <c r="B55" s="10">
        <f ca="1">IF(C55 =" "," ",B54+1)</f>
        <v>37</v>
      </c>
      <c r="C55" s="28">
        <f t="shared" ca="1" si="5"/>
        <v>46566</v>
      </c>
      <c r="D55" s="10">
        <f ca="1">IF(C55=" "," ",(C55-C54))</f>
        <v>31</v>
      </c>
      <c r="E55" s="17">
        <f t="shared" ca="1" si="11"/>
        <v>-276.24845902605011</v>
      </c>
      <c r="F55" s="17">
        <f t="shared" ca="1" si="9"/>
        <v>7063.8189767626791</v>
      </c>
      <c r="G55" s="17">
        <f ca="1">IF(C55=" "," ",IF(C55=$D$10,$D$5-SUM($G$19:G54),($D$11-H55)))</f>
        <v>6725.5823363602931</v>
      </c>
      <c r="H55" s="17">
        <f t="shared" ca="1" si="10"/>
        <v>338.2366404023856</v>
      </c>
      <c r="I55" s="10">
        <f t="shared" ca="1" si="7"/>
        <v>0</v>
      </c>
      <c r="U55" s="31" t="str">
        <f ca="1">IF(B54=$D$4,XIRR($F$18:F54,$C$18:C54)," ")</f>
        <v xml:space="preserve"> </v>
      </c>
      <c r="V55" s="10">
        <f t="shared" ca="1" si="2"/>
        <v>2027</v>
      </c>
      <c r="W55" s="10">
        <f t="shared" ca="1" si="3"/>
        <v>365</v>
      </c>
    </row>
    <row r="56" spans="2:23" x14ac:dyDescent="0.25">
      <c r="B56" s="10" t="str">
        <f t="shared" ref="B56:B89" ca="1" si="12">IF(C56 =" "," ",B55+1)</f>
        <v xml:space="preserve"> </v>
      </c>
      <c r="C56" s="28" t="str">
        <f t="shared" ca="1" si="5"/>
        <v xml:space="preserve"> </v>
      </c>
      <c r="D56" s="10" t="str">
        <f t="shared" ref="D56:D89" ca="1" si="13">IF(C56=" "," ",(C56-C55))</f>
        <v xml:space="preserve"> </v>
      </c>
      <c r="E56" s="17" t="str">
        <f t="shared" ca="1" si="11"/>
        <v xml:space="preserve"> </v>
      </c>
      <c r="F56" s="17" t="str">
        <f t="shared" ca="1" si="9"/>
        <v xml:space="preserve"> </v>
      </c>
      <c r="G56" s="17" t="str">
        <f ca="1">IF(C56=" "," ",IF(C56=$D$10,$D$5-SUM($G$19:G55),($D$11-H56)))</f>
        <v xml:space="preserve"> </v>
      </c>
      <c r="H56" s="17" t="str">
        <f t="shared" ca="1" si="10"/>
        <v xml:space="preserve"> </v>
      </c>
      <c r="I56" s="10" t="str">
        <f t="shared" ca="1" si="7"/>
        <v xml:space="preserve"> </v>
      </c>
      <c r="U56" s="31">
        <f ca="1">IF(B55=$D$4,XIRR($F$18:F55,$C$18:C55)," ")</f>
        <v>1.109150350093842</v>
      </c>
      <c r="V56" s="10" t="str">
        <f t="shared" ca="1" si="2"/>
        <v xml:space="preserve"> </v>
      </c>
      <c r="W56" s="10">
        <f t="shared" ca="1" si="3"/>
        <v>365</v>
      </c>
    </row>
    <row r="57" spans="2:23" x14ac:dyDescent="0.25">
      <c r="B57" s="10" t="str">
        <f t="shared" ca="1" si="12"/>
        <v xml:space="preserve"> </v>
      </c>
      <c r="C57" s="28" t="str">
        <f t="shared" ca="1" si="5"/>
        <v xml:space="preserve"> </v>
      </c>
      <c r="D57" s="10" t="str">
        <f t="shared" ca="1" si="13"/>
        <v xml:space="preserve"> </v>
      </c>
      <c r="E57" s="17" t="str">
        <f t="shared" ca="1" si="11"/>
        <v xml:space="preserve"> </v>
      </c>
      <c r="F57" s="17" t="str">
        <f t="shared" ca="1" si="9"/>
        <v xml:space="preserve"> </v>
      </c>
      <c r="G57" s="17" t="str">
        <f ca="1">IF(C57=" "," ",IF(C57=$D$10,$D$5-SUM($G$19:G56),($D$11-H57)))</f>
        <v xml:space="preserve"> </v>
      </c>
      <c r="H57" s="17" t="str">
        <f t="shared" ca="1" si="10"/>
        <v xml:space="preserve"> </v>
      </c>
      <c r="I57" s="10" t="str">
        <f t="shared" ca="1" si="7"/>
        <v xml:space="preserve"> </v>
      </c>
      <c r="U57" s="31" t="str">
        <f ca="1">IF(B56=$D$4,XIRR($F$18:F56,$C$18:C56)," ")</f>
        <v xml:space="preserve"> </v>
      </c>
      <c r="V57" s="10" t="str">
        <f t="shared" ca="1" si="2"/>
        <v xml:space="preserve"> </v>
      </c>
      <c r="W57" s="10">
        <f t="shared" ca="1" si="3"/>
        <v>365</v>
      </c>
    </row>
    <row r="58" spans="2:23" x14ac:dyDescent="0.25">
      <c r="B58" s="10" t="str">
        <f t="shared" ca="1" si="12"/>
        <v xml:space="preserve"> </v>
      </c>
      <c r="C58" s="28" t="str">
        <f t="shared" ca="1" si="5"/>
        <v xml:space="preserve"> </v>
      </c>
      <c r="D58" s="10" t="str">
        <f t="shared" ca="1" si="13"/>
        <v xml:space="preserve"> </v>
      </c>
      <c r="E58" s="17" t="str">
        <f t="shared" ca="1" si="11"/>
        <v xml:space="preserve"> </v>
      </c>
      <c r="F58" s="17" t="str">
        <f t="shared" ca="1" si="9"/>
        <v xml:space="preserve"> </v>
      </c>
      <c r="G58" s="17" t="str">
        <f ca="1">IF(C58=" "," ",IF(C58=$D$10,$D$5-SUM($G$19:G57),($D$11-H58)))</f>
        <v xml:space="preserve"> </v>
      </c>
      <c r="H58" s="17" t="str">
        <f t="shared" ca="1" si="10"/>
        <v xml:space="preserve"> </v>
      </c>
      <c r="I58" s="10" t="str">
        <f t="shared" ca="1" si="7"/>
        <v xml:space="preserve"> </v>
      </c>
      <c r="U58" s="31" t="str">
        <f ca="1">IF(B57=$D$4,XIRR($F$18:F57,$C$18:C57)," ")</f>
        <v xml:space="preserve"> </v>
      </c>
      <c r="V58" s="10" t="str">
        <f t="shared" ca="1" si="2"/>
        <v xml:space="preserve"> </v>
      </c>
      <c r="W58" s="10">
        <f t="shared" ca="1" si="3"/>
        <v>365</v>
      </c>
    </row>
    <row r="59" spans="2:23" x14ac:dyDescent="0.25">
      <c r="B59" s="10" t="str">
        <f t="shared" ca="1" si="12"/>
        <v xml:space="preserve"> </v>
      </c>
      <c r="C59" s="28" t="str">
        <f t="shared" ca="1" si="5"/>
        <v xml:space="preserve"> </v>
      </c>
      <c r="D59" s="10" t="str">
        <f t="shared" ca="1" si="13"/>
        <v xml:space="preserve"> </v>
      </c>
      <c r="E59" s="17" t="str">
        <f t="shared" ca="1" si="11"/>
        <v xml:space="preserve"> </v>
      </c>
      <c r="F59" s="17" t="str">
        <f t="shared" ca="1" si="9"/>
        <v xml:space="preserve"> </v>
      </c>
      <c r="G59" s="17" t="str">
        <f ca="1">IF(C59=" "," ",IF(C59=$D$10,$D$5-SUM($G$19:G58),($D$11-H59)))</f>
        <v xml:space="preserve"> </v>
      </c>
      <c r="H59" s="17" t="str">
        <f t="shared" ca="1" si="10"/>
        <v xml:space="preserve"> </v>
      </c>
      <c r="I59" s="10" t="str">
        <f t="shared" ca="1" si="7"/>
        <v xml:space="preserve"> </v>
      </c>
      <c r="U59" s="31" t="str">
        <f ca="1">IF(B58=$D$4,XIRR($F$18:F58,$C$18:C58)," ")</f>
        <v xml:space="preserve"> </v>
      </c>
      <c r="V59" s="10" t="str">
        <f t="shared" ca="1" si="2"/>
        <v xml:space="preserve"> </v>
      </c>
      <c r="W59" s="10">
        <f t="shared" ca="1" si="3"/>
        <v>365</v>
      </c>
    </row>
    <row r="60" spans="2:23" x14ac:dyDescent="0.25">
      <c r="B60" s="10" t="str">
        <f t="shared" ca="1" si="12"/>
        <v xml:space="preserve"> </v>
      </c>
      <c r="C60" s="28" t="str">
        <f t="shared" ca="1" si="5"/>
        <v xml:space="preserve"> </v>
      </c>
      <c r="D60" s="10" t="str">
        <f t="shared" ca="1" si="13"/>
        <v xml:space="preserve"> </v>
      </c>
      <c r="E60" s="17" t="str">
        <f t="shared" ca="1" si="11"/>
        <v xml:space="preserve"> </v>
      </c>
      <c r="F60" s="17" t="str">
        <f t="shared" ca="1" si="9"/>
        <v xml:space="preserve"> </v>
      </c>
      <c r="G60" s="17" t="str">
        <f ca="1">IF(C60=" "," ",IF(C60=$D$10,$D$5-SUM($G$19:G59),($D$11-H60)))</f>
        <v xml:space="preserve"> </v>
      </c>
      <c r="H60" s="17" t="str">
        <f t="shared" ca="1" si="10"/>
        <v xml:space="preserve"> </v>
      </c>
      <c r="I60" s="10" t="str">
        <f t="shared" ca="1" si="7"/>
        <v xml:space="preserve"> </v>
      </c>
      <c r="U60" s="31" t="str">
        <f ca="1">IF(B59=$D$4,XIRR($F$18:F59,$C$18:C59)," ")</f>
        <v xml:space="preserve"> </v>
      </c>
      <c r="V60" s="10" t="str">
        <f t="shared" ca="1" si="2"/>
        <v xml:space="preserve"> </v>
      </c>
      <c r="W60" s="10">
        <f t="shared" ca="1" si="3"/>
        <v>365</v>
      </c>
    </row>
    <row r="61" spans="2:23" x14ac:dyDescent="0.25">
      <c r="B61" s="10" t="str">
        <f t="shared" ca="1" si="12"/>
        <v xml:space="preserve"> </v>
      </c>
      <c r="C61" s="28" t="str">
        <f t="shared" ca="1" si="5"/>
        <v xml:space="preserve"> </v>
      </c>
      <c r="D61" s="10" t="str">
        <f t="shared" ca="1" si="13"/>
        <v xml:space="preserve"> </v>
      </c>
      <c r="E61" s="17" t="str">
        <f t="shared" ca="1" si="11"/>
        <v xml:space="preserve"> </v>
      </c>
      <c r="F61" s="17" t="str">
        <f t="shared" ca="1" si="9"/>
        <v xml:space="preserve"> </v>
      </c>
      <c r="G61" s="17" t="str">
        <f ca="1">IF(C61=" "," ",IF(C61=$D$10,$D$5-SUM($G$19:G60),($D$11-H61)))</f>
        <v xml:space="preserve"> </v>
      </c>
      <c r="H61" s="17" t="str">
        <f t="shared" ca="1" si="10"/>
        <v xml:space="preserve"> </v>
      </c>
      <c r="I61" s="10" t="str">
        <f t="shared" ca="1" si="7"/>
        <v xml:space="preserve"> </v>
      </c>
      <c r="U61" s="31" t="str">
        <f ca="1">IF(B60=$D$4,XIRR($F$18:F60,$C$18:C60)," ")</f>
        <v xml:space="preserve"> </v>
      </c>
      <c r="V61" s="10" t="str">
        <f t="shared" ca="1" si="2"/>
        <v xml:space="preserve"> </v>
      </c>
      <c r="W61" s="10">
        <f t="shared" ca="1" si="3"/>
        <v>365</v>
      </c>
    </row>
    <row r="62" spans="2:23" x14ac:dyDescent="0.25">
      <c r="B62" s="10" t="str">
        <f t="shared" ca="1" si="12"/>
        <v xml:space="preserve"> </v>
      </c>
      <c r="C62" s="28" t="str">
        <f t="shared" ca="1" si="5"/>
        <v xml:space="preserve"> </v>
      </c>
      <c r="D62" s="10" t="str">
        <f t="shared" ca="1" si="13"/>
        <v xml:space="preserve"> </v>
      </c>
      <c r="E62" s="17" t="str">
        <f t="shared" ca="1" si="11"/>
        <v xml:space="preserve"> </v>
      </c>
      <c r="F62" s="17" t="str">
        <f t="shared" ca="1" si="9"/>
        <v xml:space="preserve"> </v>
      </c>
      <c r="G62" s="17" t="str">
        <f ca="1">IF(C62=" "," ",IF(C62=$D$10,$D$5-SUM($G$19:G61),($D$11-H62)))</f>
        <v xml:space="preserve"> </v>
      </c>
      <c r="H62" s="17" t="str">
        <f t="shared" ca="1" si="10"/>
        <v xml:space="preserve"> </v>
      </c>
      <c r="I62" s="10" t="str">
        <f t="shared" ca="1" si="7"/>
        <v xml:space="preserve"> </v>
      </c>
      <c r="U62" s="31" t="str">
        <f ca="1">IF(B61=$D$4,XIRR($F$18:F61,$C$18:C61)," ")</f>
        <v xml:space="preserve"> </v>
      </c>
      <c r="V62" s="10" t="str">
        <f t="shared" ca="1" si="2"/>
        <v xml:space="preserve"> </v>
      </c>
      <c r="W62" s="10">
        <f t="shared" ca="1" si="3"/>
        <v>365</v>
      </c>
    </row>
    <row r="63" spans="2:23" x14ac:dyDescent="0.25">
      <c r="B63" s="10" t="str">
        <f t="shared" ca="1" si="12"/>
        <v xml:space="preserve"> </v>
      </c>
      <c r="C63" s="28" t="str">
        <f t="shared" ca="1" si="5"/>
        <v xml:space="preserve"> </v>
      </c>
      <c r="D63" s="10" t="str">
        <f t="shared" ca="1" si="13"/>
        <v xml:space="preserve"> </v>
      </c>
      <c r="E63" s="17" t="str">
        <f t="shared" ca="1" si="11"/>
        <v xml:space="preserve"> </v>
      </c>
      <c r="F63" s="17" t="str">
        <f t="shared" ca="1" si="9"/>
        <v xml:space="preserve"> </v>
      </c>
      <c r="G63" s="17" t="str">
        <f ca="1">IF(C63=" "," ",IF(C63=$D$10,$D$5-SUM($G$19:G62),($D$11-H63)))</f>
        <v xml:space="preserve"> </v>
      </c>
      <c r="H63" s="17" t="str">
        <f t="shared" ca="1" si="10"/>
        <v xml:space="preserve"> </v>
      </c>
      <c r="I63" s="10" t="str">
        <f t="shared" ca="1" si="7"/>
        <v xml:space="preserve"> </v>
      </c>
      <c r="U63" s="31" t="str">
        <f ca="1">IF(B62=$D$4,XIRR($F$18:F62,$C$18:C62)," ")</f>
        <v xml:space="preserve"> </v>
      </c>
      <c r="V63" s="10" t="str">
        <f t="shared" ca="1" si="2"/>
        <v xml:space="preserve"> </v>
      </c>
      <c r="W63" s="10">
        <f t="shared" ca="1" si="3"/>
        <v>365</v>
      </c>
    </row>
    <row r="64" spans="2:23" x14ac:dyDescent="0.25">
      <c r="B64" s="10" t="str">
        <f t="shared" ca="1" si="12"/>
        <v xml:space="preserve"> </v>
      </c>
      <c r="C64" s="28" t="str">
        <f t="shared" ca="1" si="5"/>
        <v xml:space="preserve"> </v>
      </c>
      <c r="D64" s="10" t="str">
        <f t="shared" ca="1" si="13"/>
        <v xml:space="preserve"> </v>
      </c>
      <c r="E64" s="17" t="str">
        <f t="shared" ca="1" si="11"/>
        <v xml:space="preserve"> </v>
      </c>
      <c r="F64" s="17" t="str">
        <f t="shared" ca="1" si="9"/>
        <v xml:space="preserve"> </v>
      </c>
      <c r="G64" s="17" t="str">
        <f ca="1">IF(C64=" "," ",IF(C64=$D$10,$D$5-SUM($G$19:G63),($D$11-H64)))</f>
        <v xml:space="preserve"> </v>
      </c>
      <c r="H64" s="17" t="str">
        <f t="shared" ca="1" si="10"/>
        <v xml:space="preserve"> </v>
      </c>
      <c r="I64" s="10" t="str">
        <f t="shared" ca="1" si="7"/>
        <v xml:space="preserve"> </v>
      </c>
      <c r="U64" s="31" t="str">
        <f ca="1">IF(B63=$D$4,XIRR($F$18:F63,$C$18:C63)," ")</f>
        <v xml:space="preserve"> </v>
      </c>
      <c r="V64" s="10" t="str">
        <f t="shared" ca="1" si="2"/>
        <v xml:space="preserve"> </v>
      </c>
      <c r="W64" s="10">
        <f t="shared" ca="1" si="3"/>
        <v>365</v>
      </c>
    </row>
    <row r="65" spans="2:23" x14ac:dyDescent="0.25">
      <c r="B65" s="10" t="str">
        <f t="shared" ca="1" si="12"/>
        <v xml:space="preserve"> </v>
      </c>
      <c r="C65" s="28" t="str">
        <f t="shared" ca="1" si="5"/>
        <v xml:space="preserve"> </v>
      </c>
      <c r="D65" s="10" t="str">
        <f t="shared" ca="1" si="13"/>
        <v xml:space="preserve"> </v>
      </c>
      <c r="E65" s="17" t="str">
        <f t="shared" ca="1" si="11"/>
        <v xml:space="preserve"> </v>
      </c>
      <c r="F65" s="17" t="str">
        <f t="shared" ca="1" si="9"/>
        <v xml:space="preserve"> </v>
      </c>
      <c r="G65" s="17" t="str">
        <f ca="1">IF(C65=" "," ",IF(C65=$D$10,$D$5-SUM($G$19:G64),($D$11-H65)))</f>
        <v xml:space="preserve"> </v>
      </c>
      <c r="H65" s="17" t="str">
        <f t="shared" ca="1" si="10"/>
        <v xml:space="preserve"> </v>
      </c>
      <c r="I65" s="10" t="str">
        <f t="shared" ca="1" si="7"/>
        <v xml:space="preserve"> </v>
      </c>
      <c r="U65" s="31" t="str">
        <f ca="1">IF(B64=$D$4,XIRR($F$18:F64,$C$18:C64)," ")</f>
        <v xml:space="preserve"> </v>
      </c>
      <c r="V65" s="10" t="str">
        <f t="shared" ca="1" si="2"/>
        <v xml:space="preserve"> </v>
      </c>
      <c r="W65" s="10">
        <f t="shared" ca="1" si="3"/>
        <v>365</v>
      </c>
    </row>
    <row r="66" spans="2:23" x14ac:dyDescent="0.25">
      <c r="B66" s="10" t="str">
        <f t="shared" ca="1" si="12"/>
        <v xml:space="preserve"> </v>
      </c>
      <c r="C66" s="28" t="str">
        <f t="shared" ca="1" si="5"/>
        <v xml:space="preserve"> </v>
      </c>
      <c r="D66" s="10" t="str">
        <f t="shared" ca="1" si="13"/>
        <v xml:space="preserve"> </v>
      </c>
      <c r="E66" s="17" t="str">
        <f t="shared" ca="1" si="11"/>
        <v xml:space="preserve"> </v>
      </c>
      <c r="F66" s="17" t="str">
        <f t="shared" ca="1" si="9"/>
        <v xml:space="preserve"> </v>
      </c>
      <c r="G66" s="17" t="str">
        <f ca="1">IF(C66=" "," ",IF(C66=$D$10,$D$5-SUM($G$19:G65),($D$11-H66)))</f>
        <v xml:space="preserve"> </v>
      </c>
      <c r="H66" s="17" t="str">
        <f t="shared" ca="1" si="10"/>
        <v xml:space="preserve"> </v>
      </c>
      <c r="I66" s="10" t="str">
        <f t="shared" ca="1" si="7"/>
        <v xml:space="preserve"> </v>
      </c>
      <c r="U66" s="31" t="str">
        <f ca="1">IF(B65=$D$4,XIRR($F$18:F65,$C$18:C65)," ")</f>
        <v xml:space="preserve"> </v>
      </c>
      <c r="V66" s="10" t="str">
        <f t="shared" ca="1" si="2"/>
        <v xml:space="preserve"> </v>
      </c>
      <c r="W66" s="10">
        <f t="shared" ca="1" si="3"/>
        <v>365</v>
      </c>
    </row>
    <row r="67" spans="2:23" x14ac:dyDescent="0.25">
      <c r="B67" s="10" t="str">
        <f t="shared" ca="1" si="12"/>
        <v xml:space="preserve"> </v>
      </c>
      <c r="C67" s="28" t="str">
        <f t="shared" ca="1" si="5"/>
        <v xml:space="preserve"> </v>
      </c>
      <c r="D67" s="10" t="str">
        <f t="shared" ca="1" si="13"/>
        <v xml:space="preserve"> </v>
      </c>
      <c r="E67" s="17" t="str">
        <f t="shared" ca="1" si="11"/>
        <v xml:space="preserve"> </v>
      </c>
      <c r="F67" s="17" t="str">
        <f t="shared" ca="1" si="9"/>
        <v xml:space="preserve"> </v>
      </c>
      <c r="G67" s="17" t="str">
        <f ca="1">IF(C67=" "," ",IF(C67=$D$10,$D$5-SUM($G$19:G66),($D$11-H67)))</f>
        <v xml:space="preserve"> </v>
      </c>
      <c r="H67" s="17" t="str">
        <f t="shared" ca="1" si="10"/>
        <v xml:space="preserve"> </v>
      </c>
      <c r="I67" s="10" t="str">
        <f t="shared" ca="1" si="7"/>
        <v xml:space="preserve"> </v>
      </c>
      <c r="U67" s="31" t="str">
        <f ca="1">IF(B66=$D$4,XIRR($F$18:F66,$C$18:C66)," ")</f>
        <v xml:space="preserve"> </v>
      </c>
      <c r="V67" s="10" t="str">
        <f t="shared" ca="1" si="2"/>
        <v xml:space="preserve"> </v>
      </c>
      <c r="W67" s="10">
        <f t="shared" ca="1" si="3"/>
        <v>365</v>
      </c>
    </row>
    <row r="68" spans="2:23" x14ac:dyDescent="0.25">
      <c r="B68" s="10" t="str">
        <f t="shared" ca="1" si="12"/>
        <v xml:space="preserve"> </v>
      </c>
      <c r="C68" s="28" t="str">
        <f t="shared" ca="1" si="5"/>
        <v xml:space="preserve"> </v>
      </c>
      <c r="D68" s="10" t="str">
        <f t="shared" ca="1" si="13"/>
        <v xml:space="preserve"> </v>
      </c>
      <c r="E68" s="17" t="str">
        <f t="shared" ca="1" si="11"/>
        <v xml:space="preserve"> </v>
      </c>
      <c r="F68" s="17" t="str">
        <f t="shared" ca="1" si="9"/>
        <v xml:space="preserve"> </v>
      </c>
      <c r="G68" s="17" t="str">
        <f ca="1">IF(C68=" "," ",IF(C68=$D$10,$D$5-SUM($G$19:G67),($D$11-H68)))</f>
        <v xml:space="preserve"> </v>
      </c>
      <c r="H68" s="17" t="str">
        <f t="shared" ref="H68:H84" ca="1" si="14">IF(C68=" "," ",E67*$D$7*D68/365)</f>
        <v xml:space="preserve"> </v>
      </c>
      <c r="I68" s="10" t="str">
        <f t="shared" ca="1" si="7"/>
        <v xml:space="preserve"> </v>
      </c>
      <c r="U68" s="31" t="str">
        <f ca="1">IF(B67=$D$4,XIRR($F$18:F67,$C$18:C67)," ")</f>
        <v xml:space="preserve"> </v>
      </c>
      <c r="V68" s="10" t="str">
        <f t="shared" ca="1" si="2"/>
        <v xml:space="preserve"> </v>
      </c>
      <c r="W68" s="10">
        <f t="shared" ca="1" si="3"/>
        <v>365</v>
      </c>
    </row>
    <row r="69" spans="2:23" x14ac:dyDescent="0.25">
      <c r="B69" s="10" t="str">
        <f t="shared" ca="1" si="12"/>
        <v xml:space="preserve"> </v>
      </c>
      <c r="C69" s="28" t="str">
        <f t="shared" ca="1" si="5"/>
        <v xml:space="preserve"> </v>
      </c>
      <c r="D69" s="10" t="str">
        <f t="shared" ca="1" si="13"/>
        <v xml:space="preserve"> </v>
      </c>
      <c r="E69" s="17" t="str">
        <f t="shared" ca="1" si="11"/>
        <v xml:space="preserve"> </v>
      </c>
      <c r="F69" s="17" t="str">
        <f t="shared" ca="1" si="9"/>
        <v xml:space="preserve"> </v>
      </c>
      <c r="G69" s="17" t="str">
        <f ca="1">IF(C69=" "," ",IF(C69=$D$10,$D$5-SUM($G$19:G68),($D$11-H69)))</f>
        <v xml:space="preserve"> </v>
      </c>
      <c r="H69" s="17" t="str">
        <f t="shared" ca="1" si="14"/>
        <v xml:space="preserve"> </v>
      </c>
      <c r="I69" s="10" t="str">
        <f t="shared" ca="1" si="7"/>
        <v xml:space="preserve"> </v>
      </c>
      <c r="U69" s="31" t="str">
        <f ca="1">IF(B68=$D$4,XIRR($F$18:F68,$C$18:C68)," ")</f>
        <v xml:space="preserve"> </v>
      </c>
      <c r="V69" s="10" t="str">
        <f t="shared" ca="1" si="2"/>
        <v xml:space="preserve"> </v>
      </c>
      <c r="W69" s="10">
        <f t="shared" ca="1" si="3"/>
        <v>365</v>
      </c>
    </row>
    <row r="70" spans="2:23" x14ac:dyDescent="0.25">
      <c r="B70" s="10" t="str">
        <f t="shared" ca="1" si="12"/>
        <v xml:space="preserve"> </v>
      </c>
      <c r="C70" s="28" t="str">
        <f t="shared" ca="1" si="5"/>
        <v xml:space="preserve"> </v>
      </c>
      <c r="D70" s="10" t="str">
        <f t="shared" ca="1" si="13"/>
        <v xml:space="preserve"> </v>
      </c>
      <c r="E70" s="17" t="str">
        <f t="shared" ca="1" si="11"/>
        <v xml:space="preserve"> </v>
      </c>
      <c r="F70" s="17" t="str">
        <f t="shared" ca="1" si="9"/>
        <v xml:space="preserve"> </v>
      </c>
      <c r="G70" s="17" t="str">
        <f ca="1">IF(C70=" "," ",IF(C70=$D$10,$D$6-SUM($G$19:G69),($D$11-H70)))</f>
        <v xml:space="preserve"> </v>
      </c>
      <c r="H70" s="17" t="str">
        <f t="shared" ca="1" si="14"/>
        <v xml:space="preserve"> </v>
      </c>
      <c r="I70" s="10" t="str">
        <f t="shared" ca="1" si="7"/>
        <v xml:space="preserve"> </v>
      </c>
      <c r="U70" s="31" t="str">
        <f ca="1">IF(B69=$D$4,XIRR($F$18:F69,$C$18:C69)," ")</f>
        <v xml:space="preserve"> </v>
      </c>
      <c r="V70" s="10" t="str">
        <f t="shared" ca="1" si="2"/>
        <v xml:space="preserve"> </v>
      </c>
      <c r="W70" s="10">
        <f t="shared" ca="1" si="3"/>
        <v>365</v>
      </c>
    </row>
    <row r="71" spans="2:23" x14ac:dyDescent="0.25">
      <c r="B71" s="10" t="str">
        <f t="shared" ca="1" si="12"/>
        <v xml:space="preserve"> </v>
      </c>
      <c r="C71" s="28" t="str">
        <f t="shared" ca="1" si="5"/>
        <v xml:space="preserve"> </v>
      </c>
      <c r="D71" s="10" t="str">
        <f t="shared" ca="1" si="13"/>
        <v xml:space="preserve"> </v>
      </c>
      <c r="E71" s="17" t="str">
        <f t="shared" ca="1" si="11"/>
        <v xml:space="preserve"> </v>
      </c>
      <c r="F71" s="17" t="str">
        <f t="shared" ca="1" si="9"/>
        <v xml:space="preserve"> </v>
      </c>
      <c r="G71" s="17" t="str">
        <f ca="1">IF(C71=" "," ",IF(C71=$D$10,$D$6-SUM($G$19:G70),($D$11-H71)))</f>
        <v xml:space="preserve"> </v>
      </c>
      <c r="H71" s="17" t="str">
        <f t="shared" ca="1" si="14"/>
        <v xml:space="preserve"> </v>
      </c>
      <c r="I71" s="10" t="str">
        <f t="shared" ca="1" si="7"/>
        <v xml:space="preserve"> </v>
      </c>
      <c r="U71" s="31" t="str">
        <f ca="1">IF(B70=$D$4,XIRR($F$18:F70,$C$18:C70)," ")</f>
        <v xml:space="preserve"> </v>
      </c>
      <c r="V71" s="10" t="str">
        <f t="shared" ca="1" si="2"/>
        <v xml:space="preserve"> </v>
      </c>
      <c r="W71" s="10">
        <f t="shared" ca="1" si="3"/>
        <v>365</v>
      </c>
    </row>
    <row r="72" spans="2:23" x14ac:dyDescent="0.25">
      <c r="B72" s="10" t="str">
        <f t="shared" ca="1" si="12"/>
        <v xml:space="preserve"> </v>
      </c>
      <c r="C72" s="28" t="str">
        <f t="shared" ca="1" si="5"/>
        <v xml:space="preserve"> </v>
      </c>
      <c r="D72" s="10" t="str">
        <f t="shared" ca="1" si="13"/>
        <v xml:space="preserve"> </v>
      </c>
      <c r="E72" s="17" t="str">
        <f t="shared" ca="1" si="11"/>
        <v xml:space="preserve"> </v>
      </c>
      <c r="F72" s="17" t="str">
        <f t="shared" ca="1" si="9"/>
        <v xml:space="preserve"> </v>
      </c>
      <c r="G72" s="17" t="str">
        <f ca="1">IF(C72=" "," ",IF(C72=$D$10,$D$6-SUM($G$19:G71),($D$11-H72)))</f>
        <v xml:space="preserve"> </v>
      </c>
      <c r="H72" s="17" t="str">
        <f t="shared" ca="1" si="14"/>
        <v xml:space="preserve"> </v>
      </c>
      <c r="I72" s="10" t="str">
        <f t="shared" ca="1" si="7"/>
        <v xml:space="preserve"> </v>
      </c>
      <c r="U72" s="31" t="str">
        <f ca="1">IF(B71=$D$4,XIRR($F$18:F71,$C$18:C71)," ")</f>
        <v xml:space="preserve"> </v>
      </c>
      <c r="V72" s="10" t="str">
        <f t="shared" ca="1" si="2"/>
        <v xml:space="preserve"> </v>
      </c>
      <c r="W72" s="10">
        <f t="shared" ca="1" si="3"/>
        <v>365</v>
      </c>
    </row>
    <row r="73" spans="2:23" x14ac:dyDescent="0.25">
      <c r="B73" s="10" t="str">
        <f t="shared" ca="1" si="12"/>
        <v xml:space="preserve"> </v>
      </c>
      <c r="C73" s="28" t="str">
        <f t="shared" ca="1" si="5"/>
        <v xml:space="preserve"> </v>
      </c>
      <c r="D73" s="10" t="str">
        <f t="shared" ca="1" si="13"/>
        <v xml:space="preserve"> </v>
      </c>
      <c r="E73" s="17" t="str">
        <f t="shared" ca="1" si="11"/>
        <v xml:space="preserve"> </v>
      </c>
      <c r="F73" s="17" t="str">
        <f t="shared" ca="1" si="9"/>
        <v xml:space="preserve"> </v>
      </c>
      <c r="G73" s="17" t="str">
        <f ca="1">IF(C73=" "," ",IF(C73=$D$10,$D$6-SUM($G$19:G72),($D$11-H73)))</f>
        <v xml:space="preserve"> </v>
      </c>
      <c r="H73" s="17" t="str">
        <f t="shared" ca="1" si="14"/>
        <v xml:space="preserve"> </v>
      </c>
      <c r="I73" s="10" t="str">
        <f t="shared" ca="1" si="7"/>
        <v xml:space="preserve"> </v>
      </c>
      <c r="U73" s="31" t="str">
        <f ca="1">IF(B72=$D$4,XIRR($F$18:F72,$C$18:C72)," ")</f>
        <v xml:space="preserve"> </v>
      </c>
      <c r="V73" s="10" t="str">
        <f t="shared" ca="1" si="2"/>
        <v xml:space="preserve"> </v>
      </c>
      <c r="W73" s="10">
        <f t="shared" ca="1" si="3"/>
        <v>365</v>
      </c>
    </row>
    <row r="74" spans="2:23" x14ac:dyDescent="0.25">
      <c r="B74" s="10" t="str">
        <f t="shared" ca="1" si="12"/>
        <v xml:space="preserve"> </v>
      </c>
      <c r="C74" s="28" t="str">
        <f t="shared" ca="1" si="5"/>
        <v xml:space="preserve"> </v>
      </c>
      <c r="D74" s="10" t="str">
        <f t="shared" ca="1" si="13"/>
        <v xml:space="preserve"> </v>
      </c>
      <c r="E74" s="17" t="str">
        <f t="shared" ca="1" si="11"/>
        <v xml:space="preserve"> </v>
      </c>
      <c r="F74" s="17" t="str">
        <f t="shared" ca="1" si="9"/>
        <v xml:space="preserve"> </v>
      </c>
      <c r="G74" s="17" t="str">
        <f ca="1">IF(C74=" "," ",IF(C74=$D$10,$D$6-SUM($G$19:G73),($D$11-H74)))</f>
        <v xml:space="preserve"> </v>
      </c>
      <c r="H74" s="17" t="str">
        <f t="shared" ca="1" si="14"/>
        <v xml:space="preserve"> </v>
      </c>
      <c r="I74" s="10" t="str">
        <f t="shared" ca="1" si="7"/>
        <v xml:space="preserve"> </v>
      </c>
      <c r="U74" s="31" t="str">
        <f ca="1">IF(B73=$D$4,XIRR($F$18:F73,$C$18:C73)," ")</f>
        <v xml:space="preserve"> </v>
      </c>
      <c r="V74" s="10" t="str">
        <f t="shared" ca="1" si="2"/>
        <v xml:space="preserve"> </v>
      </c>
      <c r="W74" s="10">
        <f t="shared" ca="1" si="3"/>
        <v>365</v>
      </c>
    </row>
    <row r="75" spans="2:23" x14ac:dyDescent="0.25">
      <c r="B75" s="10" t="str">
        <f t="shared" ca="1" si="12"/>
        <v xml:space="preserve"> </v>
      </c>
      <c r="C75" s="28" t="str">
        <f t="shared" ca="1" si="5"/>
        <v xml:space="preserve"> </v>
      </c>
      <c r="D75" s="10" t="str">
        <f t="shared" ca="1" si="13"/>
        <v xml:space="preserve"> </v>
      </c>
      <c r="E75" s="17" t="str">
        <f t="shared" ca="1" si="11"/>
        <v xml:space="preserve"> </v>
      </c>
      <c r="F75" s="17" t="str">
        <f t="shared" ca="1" si="9"/>
        <v xml:space="preserve"> </v>
      </c>
      <c r="G75" s="17" t="str">
        <f ca="1">IF(C75=" "," ",IF(C75=$D$10,$D$6-SUM($G$19:G74),($D$11-H75)))</f>
        <v xml:space="preserve"> </v>
      </c>
      <c r="H75" s="17" t="str">
        <f t="shared" ca="1" si="14"/>
        <v xml:space="preserve"> </v>
      </c>
      <c r="I75" s="10" t="str">
        <f t="shared" ca="1" si="7"/>
        <v xml:space="preserve"> </v>
      </c>
      <c r="U75" s="31" t="str">
        <f ca="1">IF(B74=$D$4,XIRR($F$18:F74,$C$18:C74)," ")</f>
        <v xml:space="preserve"> </v>
      </c>
      <c r="V75" s="10" t="str">
        <f t="shared" ca="1" si="2"/>
        <v xml:space="preserve"> </v>
      </c>
      <c r="W75" s="10">
        <f t="shared" ca="1" si="3"/>
        <v>365</v>
      </c>
    </row>
    <row r="76" spans="2:23" x14ac:dyDescent="0.25">
      <c r="B76" s="10" t="str">
        <f t="shared" ca="1" si="12"/>
        <v xml:space="preserve"> </v>
      </c>
      <c r="C76" s="28" t="str">
        <f t="shared" ca="1" si="5"/>
        <v xml:space="preserve"> </v>
      </c>
      <c r="D76" s="10" t="str">
        <f t="shared" ca="1" si="13"/>
        <v xml:space="preserve"> </v>
      </c>
      <c r="E76" s="17" t="str">
        <f t="shared" ca="1" si="11"/>
        <v xml:space="preserve"> </v>
      </c>
      <c r="F76" s="17" t="str">
        <f t="shared" ca="1" si="9"/>
        <v xml:space="preserve"> </v>
      </c>
      <c r="G76" s="17" t="str">
        <f ca="1">IF(C76=" "," ",IF(C76=$D$10,$D$6-SUM($G$19:G75),($D$11-H76)))</f>
        <v xml:space="preserve"> </v>
      </c>
      <c r="H76" s="17" t="str">
        <f t="shared" ca="1" si="14"/>
        <v xml:space="preserve"> </v>
      </c>
      <c r="I76" s="10" t="str">
        <f t="shared" ca="1" si="7"/>
        <v xml:space="preserve"> </v>
      </c>
      <c r="U76" s="31" t="str">
        <f ca="1">IF(B75=$D$4,XIRR($F$18:F75,$C$18:C75)," ")</f>
        <v xml:space="preserve"> </v>
      </c>
      <c r="V76" s="10" t="str">
        <f t="shared" ca="1" si="2"/>
        <v xml:space="preserve"> </v>
      </c>
      <c r="W76" s="10">
        <f t="shared" ca="1" si="3"/>
        <v>365</v>
      </c>
    </row>
    <row r="77" spans="2:23" x14ac:dyDescent="0.25">
      <c r="B77" s="10" t="str">
        <f t="shared" ca="1" si="12"/>
        <v xml:space="preserve"> </v>
      </c>
      <c r="C77" s="28" t="str">
        <f t="shared" ca="1" si="5"/>
        <v xml:space="preserve"> </v>
      </c>
      <c r="D77" s="10" t="str">
        <f t="shared" ca="1" si="13"/>
        <v xml:space="preserve"> </v>
      </c>
      <c r="E77" s="17" t="str">
        <f t="shared" ca="1" si="11"/>
        <v xml:space="preserve"> </v>
      </c>
      <c r="F77" s="17" t="str">
        <f t="shared" ca="1" si="9"/>
        <v xml:space="preserve"> </v>
      </c>
      <c r="G77" s="17" t="str">
        <f ca="1">IF(C77=" "," ",IF(C77=$D$10,$D$6-SUM($G$19:G76),($D$11-H77)))</f>
        <v xml:space="preserve"> </v>
      </c>
      <c r="H77" s="17" t="str">
        <f t="shared" ca="1" si="14"/>
        <v xml:space="preserve"> </v>
      </c>
      <c r="I77" s="10" t="str">
        <f t="shared" ca="1" si="7"/>
        <v xml:space="preserve"> </v>
      </c>
      <c r="U77" s="31" t="str">
        <f ca="1">IF(B76=$D$4,XIRR($F$18:F76,$C$18:C76)," ")</f>
        <v xml:space="preserve"> </v>
      </c>
      <c r="V77" s="10" t="str">
        <f t="shared" ca="1" si="2"/>
        <v xml:space="preserve"> </v>
      </c>
      <c r="W77" s="10">
        <f t="shared" ca="1" si="3"/>
        <v>365</v>
      </c>
    </row>
    <row r="78" spans="2:23" x14ac:dyDescent="0.25">
      <c r="B78" s="10" t="str">
        <f t="shared" ca="1" si="12"/>
        <v xml:space="preserve"> </v>
      </c>
      <c r="C78" s="28" t="str">
        <f t="shared" ca="1" si="5"/>
        <v xml:space="preserve"> </v>
      </c>
      <c r="D78" s="10" t="str">
        <f t="shared" ca="1" si="13"/>
        <v xml:space="preserve"> </v>
      </c>
      <c r="E78" s="17" t="str">
        <f t="shared" ca="1" si="11"/>
        <v xml:space="preserve"> </v>
      </c>
      <c r="F78" s="17" t="str">
        <f t="shared" ca="1" si="9"/>
        <v xml:space="preserve"> </v>
      </c>
      <c r="G78" s="17" t="str">
        <f ca="1">IF(C78=" "," ",IF(C78=$D$10,$D$6-SUM($G$19:G77),($D$11-H78)))</f>
        <v xml:space="preserve"> </v>
      </c>
      <c r="H78" s="17" t="str">
        <f t="shared" ca="1" si="14"/>
        <v xml:space="preserve"> </v>
      </c>
      <c r="I78" s="10" t="str">
        <f t="shared" ca="1" si="7"/>
        <v xml:space="preserve"> </v>
      </c>
      <c r="U78" s="31" t="str">
        <f ca="1">IF(B77=$D$4,XIRR($F$18:F77,$C$18:C77)," ")</f>
        <v xml:space="preserve"> </v>
      </c>
      <c r="V78" s="10" t="str">
        <f t="shared" ca="1" si="2"/>
        <v xml:space="preserve"> </v>
      </c>
      <c r="W78" s="10">
        <f t="shared" ca="1" si="3"/>
        <v>365</v>
      </c>
    </row>
    <row r="79" spans="2:23" x14ac:dyDescent="0.25">
      <c r="B79" s="10" t="str">
        <f t="shared" ca="1" si="12"/>
        <v xml:space="preserve"> </v>
      </c>
      <c r="C79" s="28" t="str">
        <f t="shared" ca="1" si="5"/>
        <v xml:space="preserve"> </v>
      </c>
      <c r="D79" s="10" t="str">
        <f t="shared" ca="1" si="13"/>
        <v xml:space="preserve"> </v>
      </c>
      <c r="E79" s="17" t="str">
        <f t="shared" ca="1" si="11"/>
        <v xml:space="preserve"> </v>
      </c>
      <c r="F79" s="17" t="str">
        <f t="shared" ca="1" si="9"/>
        <v xml:space="preserve"> </v>
      </c>
      <c r="G79" s="17" t="str">
        <f ca="1">IF(C79=" "," ",IF(C79=$D$10,$D$6-SUM($G$19:G78),($D$11-H79)))</f>
        <v xml:space="preserve"> </v>
      </c>
      <c r="H79" s="17" t="str">
        <f t="shared" ca="1" si="14"/>
        <v xml:space="preserve"> </v>
      </c>
      <c r="I79" s="10" t="str">
        <f t="shared" ca="1" si="7"/>
        <v xml:space="preserve"> </v>
      </c>
      <c r="U79" s="31" t="str">
        <f ca="1">IF(B78=$D$4,XIRR($F$18:F78,$C$18:C78)," ")</f>
        <v xml:space="preserve"> </v>
      </c>
      <c r="V79" s="10" t="str">
        <f t="shared" ca="1" si="2"/>
        <v xml:space="preserve"> </v>
      </c>
      <c r="W79" s="10">
        <f t="shared" ca="1" si="3"/>
        <v>365</v>
      </c>
    </row>
    <row r="80" spans="2:23" x14ac:dyDescent="0.25">
      <c r="B80" s="10" t="str">
        <f t="shared" ca="1" si="12"/>
        <v xml:space="preserve"> </v>
      </c>
      <c r="C80" s="28" t="str">
        <f t="shared" ca="1" si="5"/>
        <v xml:space="preserve"> </v>
      </c>
      <c r="D80" s="10" t="str">
        <f t="shared" ca="1" si="13"/>
        <v xml:space="preserve"> </v>
      </c>
      <c r="E80" s="17" t="str">
        <f t="shared" ca="1" si="11"/>
        <v xml:space="preserve"> </v>
      </c>
      <c r="F80" s="17" t="str">
        <f t="shared" ca="1" si="9"/>
        <v xml:space="preserve"> </v>
      </c>
      <c r="G80" s="17" t="str">
        <f ca="1">IF(C80=" "," ",IF(C80=$D$10,$D$6-SUM($G$19:G79),($D$11-H80)))</f>
        <v xml:space="preserve"> </v>
      </c>
      <c r="H80" s="17" t="str">
        <f t="shared" ca="1" si="14"/>
        <v xml:space="preserve"> </v>
      </c>
      <c r="I80" s="10" t="str">
        <f t="shared" ca="1" si="7"/>
        <v xml:space="preserve"> </v>
      </c>
      <c r="U80" s="31" t="str">
        <f ca="1">IF(B79=$D$4,XIRR($F$18:F79,$C$18:C79)," ")</f>
        <v xml:space="preserve"> </v>
      </c>
      <c r="V80" s="10" t="str">
        <f t="shared" ca="1" si="2"/>
        <v xml:space="preserve"> </v>
      </c>
      <c r="W80" s="10">
        <f t="shared" ca="1" si="3"/>
        <v>365</v>
      </c>
    </row>
    <row r="81" spans="2:23" x14ac:dyDescent="0.25">
      <c r="B81" s="10" t="str">
        <f t="shared" ca="1" si="12"/>
        <v xml:space="preserve"> </v>
      </c>
      <c r="C81" s="28" t="str">
        <f t="shared" ca="1" si="5"/>
        <v xml:space="preserve"> </v>
      </c>
      <c r="D81" s="10" t="str">
        <f t="shared" ca="1" si="13"/>
        <v xml:space="preserve"> </v>
      </c>
      <c r="E81" s="17" t="str">
        <f t="shared" ca="1" si="11"/>
        <v xml:space="preserve"> </v>
      </c>
      <c r="F81" s="17" t="str">
        <f t="shared" ca="1" si="9"/>
        <v xml:space="preserve"> </v>
      </c>
      <c r="G81" s="17" t="str">
        <f ca="1">IF(C81=" "," ",IF(C81=$D$10,$D$6-SUM($G$19:G80),($D$11-H81)))</f>
        <v xml:space="preserve"> </v>
      </c>
      <c r="H81" s="17" t="str">
        <f t="shared" ca="1" si="14"/>
        <v xml:space="preserve"> </v>
      </c>
      <c r="I81" s="10" t="str">
        <f t="shared" ca="1" si="7"/>
        <v xml:space="preserve"> </v>
      </c>
      <c r="U81" s="31" t="str">
        <f ca="1">IF(B80=$D$4,XIRR($F$18:F80,$C$18:C80)," ")</f>
        <v xml:space="preserve"> </v>
      </c>
      <c r="V81" s="10" t="str">
        <f t="shared" ca="1" si="2"/>
        <v xml:space="preserve"> </v>
      </c>
      <c r="W81" s="10">
        <f t="shared" ca="1" si="3"/>
        <v>365</v>
      </c>
    </row>
    <row r="82" spans="2:23" x14ac:dyDescent="0.25">
      <c r="B82" s="10" t="str">
        <f t="shared" ca="1" si="12"/>
        <v xml:space="preserve"> </v>
      </c>
      <c r="C82" s="28" t="str">
        <f t="shared" ca="1" si="5"/>
        <v xml:space="preserve"> </v>
      </c>
      <c r="D82" s="10" t="str">
        <f t="shared" ca="1" si="13"/>
        <v xml:space="preserve"> </v>
      </c>
      <c r="E82" s="17" t="str">
        <f t="shared" ca="1" si="11"/>
        <v xml:space="preserve"> </v>
      </c>
      <c r="F82" s="17" t="str">
        <f t="shared" ca="1" si="9"/>
        <v xml:space="preserve"> </v>
      </c>
      <c r="G82" s="17" t="str">
        <f ca="1">IF(C82=" "," ",IF(C82=$D$10,$D$6-SUM($G$19:G81),($D$11-H82)))</f>
        <v xml:space="preserve"> </v>
      </c>
      <c r="H82" s="17" t="str">
        <f t="shared" ca="1" si="14"/>
        <v xml:space="preserve"> </v>
      </c>
      <c r="I82" s="10" t="str">
        <f t="shared" ca="1" si="7"/>
        <v xml:space="preserve"> </v>
      </c>
      <c r="U82" s="31" t="str">
        <f ca="1">IF(B81=$D$4,XIRR($F$18:F81,$C$18:C81)," ")</f>
        <v xml:space="preserve"> </v>
      </c>
      <c r="V82" s="10" t="str">
        <f t="shared" ca="1" si="2"/>
        <v xml:space="preserve"> </v>
      </c>
      <c r="W82" s="10">
        <f t="shared" ca="1" si="3"/>
        <v>365</v>
      </c>
    </row>
    <row r="83" spans="2:23" x14ac:dyDescent="0.25">
      <c r="B83" s="10" t="str">
        <f t="shared" ca="1" si="12"/>
        <v xml:space="preserve"> </v>
      </c>
      <c r="C83" s="28" t="str">
        <f t="shared" ca="1" si="5"/>
        <v xml:space="preserve"> </v>
      </c>
      <c r="D83" s="10" t="str">
        <f t="shared" ca="1" si="13"/>
        <v xml:space="preserve"> </v>
      </c>
      <c r="E83" s="17" t="str">
        <f t="shared" ca="1" si="11"/>
        <v xml:space="preserve"> </v>
      </c>
      <c r="F83" s="17" t="str">
        <f t="shared" ca="1" si="9"/>
        <v xml:space="preserve"> </v>
      </c>
      <c r="G83" s="17" t="str">
        <f ca="1">IF(C83=" "," ",IF(C83=$D$10,$D$6-SUM($G$19:G82),($D$11-H83)))</f>
        <v xml:space="preserve"> </v>
      </c>
      <c r="H83" s="17" t="str">
        <f t="shared" ca="1" si="14"/>
        <v xml:space="preserve"> </v>
      </c>
      <c r="I83" s="10" t="str">
        <f t="shared" ca="1" si="7"/>
        <v xml:space="preserve"> </v>
      </c>
      <c r="U83" s="31" t="str">
        <f ca="1">IF(B82=$D$4,XIRR($F$18:F82,$C$18:C82)," ")</f>
        <v xml:space="preserve"> </v>
      </c>
      <c r="V83" s="10" t="str">
        <f t="shared" ca="1" si="2"/>
        <v xml:space="preserve"> </v>
      </c>
      <c r="W83" s="10">
        <f t="shared" ca="1" si="3"/>
        <v>365</v>
      </c>
    </row>
    <row r="84" spans="2:23" x14ac:dyDescent="0.25">
      <c r="B84" s="10" t="str">
        <f t="shared" ca="1" si="12"/>
        <v xml:space="preserve"> </v>
      </c>
      <c r="C84" s="28" t="str">
        <f t="shared" ca="1" si="5"/>
        <v xml:space="preserve"> </v>
      </c>
      <c r="D84" s="10" t="str">
        <f t="shared" ca="1" si="13"/>
        <v xml:space="preserve"> </v>
      </c>
      <c r="E84" s="17" t="str">
        <f t="shared" ca="1" si="11"/>
        <v xml:space="preserve"> </v>
      </c>
      <c r="F84" s="17" t="str">
        <f t="shared" ca="1" si="9"/>
        <v xml:space="preserve"> </v>
      </c>
      <c r="G84" s="17" t="str">
        <f ca="1">IF(C84=" "," ",IF(C84=$D$10,$D$6-SUM($G$19:G83),($D$11-H84)))</f>
        <v xml:space="preserve"> </v>
      </c>
      <c r="H84" s="17" t="str">
        <f t="shared" ca="1" si="14"/>
        <v xml:space="preserve"> </v>
      </c>
      <c r="I84" s="10" t="str">
        <f t="shared" ca="1" si="7"/>
        <v xml:space="preserve"> </v>
      </c>
      <c r="U84" s="31" t="str">
        <f ca="1">IF(B83=$D$4,XIRR($F$18:F83,$C$18:C83)," ")</f>
        <v xml:space="preserve"> </v>
      </c>
      <c r="V84" s="10" t="str">
        <f t="shared" ref="V84:V86" ca="1" si="15">IF(C84=" "," ",YEAR(C84))</f>
        <v xml:space="preserve"> </v>
      </c>
      <c r="W84" s="10">
        <f t="shared" ref="W84:W88" ca="1" si="16">IF(OR(V84=2024,V84=2028,V84=2016,V84=2020,V84=2024,V84=2028,V84=2032,V84=2036,V84=2040),366,365)</f>
        <v>365</v>
      </c>
    </row>
    <row r="85" spans="2:23" x14ac:dyDescent="0.25">
      <c r="B85" s="10" t="str">
        <f t="shared" ca="1" si="12"/>
        <v xml:space="preserve"> </v>
      </c>
      <c r="C85" s="28" t="str">
        <f t="shared" ref="C85:C89" ca="1" si="17">IF(B84&gt;=$D$4, " ", EDATE(C84,1))</f>
        <v xml:space="preserve"> </v>
      </c>
      <c r="D85" s="10" t="str">
        <f t="shared" ca="1" si="13"/>
        <v xml:space="preserve"> </v>
      </c>
      <c r="E85" s="17" t="str">
        <f t="shared" ca="1" si="11"/>
        <v xml:space="preserve"> </v>
      </c>
      <c r="F85" s="17" t="str">
        <f t="shared" ca="1" si="9"/>
        <v xml:space="preserve"> </v>
      </c>
      <c r="G85" s="17" t="str">
        <f ca="1">IF(C85=" "," ",IF(C85=$D$10,$D$6-SUM($G$19:G84),($D$11-H85)))</f>
        <v xml:space="preserve"> </v>
      </c>
      <c r="H85" s="17" t="str">
        <f t="shared" ref="H85:H88" ca="1" si="18">IF(C85=" "," ",E84*$D$7*D85/365)</f>
        <v xml:space="preserve"> </v>
      </c>
      <c r="I85" s="10" t="str">
        <f t="shared" ref="I85:I89" ca="1" si="19">IF(C85=" "," ",IF($F$9="нет",$D$8*$D$6,($D$6*(1+$D$9))*$D$8))</f>
        <v xml:space="preserve"> </v>
      </c>
      <c r="U85" s="31" t="str">
        <f ca="1">IF(B84=$D$4,XIRR($F$18:F84,$C$18:C84)," ")</f>
        <v xml:space="preserve"> </v>
      </c>
      <c r="V85" s="10" t="str">
        <f t="shared" ca="1" si="15"/>
        <v xml:space="preserve"> </v>
      </c>
      <c r="W85" s="10">
        <f t="shared" ca="1" si="16"/>
        <v>365</v>
      </c>
    </row>
    <row r="86" spans="2:23" x14ac:dyDescent="0.25">
      <c r="B86" s="10" t="str">
        <f t="shared" ca="1" si="12"/>
        <v xml:space="preserve"> </v>
      </c>
      <c r="C86" s="28" t="str">
        <f t="shared" ca="1" si="17"/>
        <v xml:space="preserve"> </v>
      </c>
      <c r="D86" s="10" t="str">
        <f t="shared" ca="1" si="13"/>
        <v xml:space="preserve"> </v>
      </c>
      <c r="E86" s="17" t="str">
        <f t="shared" ca="1" si="11"/>
        <v xml:space="preserve"> </v>
      </c>
      <c r="F86" s="17" t="str">
        <f t="shared" ca="1" si="9"/>
        <v xml:space="preserve"> </v>
      </c>
      <c r="G86" s="17" t="str">
        <f ca="1">IF(C86=" "," ",IF(C86=$D$10,$D$6-SUM($G$19:G85),($D$11-H86)))</f>
        <v xml:space="preserve"> </v>
      </c>
      <c r="H86" s="17" t="str">
        <f t="shared" ca="1" si="18"/>
        <v xml:space="preserve"> </v>
      </c>
      <c r="I86" s="10" t="str">
        <f t="shared" ca="1" si="19"/>
        <v xml:space="preserve"> </v>
      </c>
      <c r="U86" s="31" t="str">
        <f ca="1">IF(B85=$D$4,XIRR($F$18:F85,$C$18:C85)," ")</f>
        <v xml:space="preserve"> </v>
      </c>
      <c r="V86" s="10" t="str">
        <f t="shared" ca="1" si="15"/>
        <v xml:space="preserve"> </v>
      </c>
      <c r="W86" s="10">
        <f t="shared" ca="1" si="16"/>
        <v>365</v>
      </c>
    </row>
    <row r="87" spans="2:23" x14ac:dyDescent="0.25">
      <c r="B87" s="10" t="str">
        <f t="shared" ca="1" si="12"/>
        <v xml:space="preserve"> </v>
      </c>
      <c r="C87" s="28" t="str">
        <f t="shared" ca="1" si="17"/>
        <v xml:space="preserve"> </v>
      </c>
      <c r="D87" s="10" t="str">
        <f t="shared" ca="1" si="13"/>
        <v xml:space="preserve"> </v>
      </c>
      <c r="E87" s="17" t="str">
        <f t="shared" ca="1" si="11"/>
        <v xml:space="preserve"> </v>
      </c>
      <c r="F87" s="17" t="str">
        <f t="shared" ca="1" si="9"/>
        <v xml:space="preserve"> </v>
      </c>
      <c r="G87" s="17" t="str">
        <f ca="1">IF(C87=" "," ",IF(C87=$D$10,$D$6-SUM($G$19:G86),($D$11-H87)))</f>
        <v xml:space="preserve"> </v>
      </c>
      <c r="H87" s="17" t="str">
        <f t="shared" ca="1" si="18"/>
        <v xml:space="preserve"> </v>
      </c>
      <c r="I87" s="10" t="str">
        <f t="shared" ca="1" si="19"/>
        <v xml:space="preserve"> </v>
      </c>
      <c r="U87" s="31" t="str">
        <f ca="1">IF(B86=$D$4,XIRR($F$18:F86,$C$18:C86)," ")</f>
        <v xml:space="preserve"> </v>
      </c>
      <c r="W87" s="10">
        <f t="shared" si="16"/>
        <v>365</v>
      </c>
    </row>
    <row r="88" spans="2:23" x14ac:dyDescent="0.25">
      <c r="B88" s="10" t="str">
        <f t="shared" ca="1" si="12"/>
        <v xml:space="preserve"> </v>
      </c>
      <c r="C88" s="28" t="str">
        <f t="shared" ca="1" si="17"/>
        <v xml:space="preserve"> </v>
      </c>
      <c r="D88" s="10" t="str">
        <f t="shared" ca="1" si="13"/>
        <v xml:space="preserve"> </v>
      </c>
      <c r="E88" s="17" t="str">
        <f t="shared" ca="1" si="11"/>
        <v xml:space="preserve"> </v>
      </c>
      <c r="F88" s="17" t="str">
        <f t="shared" ref="F88" ca="1" si="20">IF(C88=" "," ",G86+H86+I86)</f>
        <v xml:space="preserve"> </v>
      </c>
      <c r="H88" s="17" t="str">
        <f t="shared" ca="1" si="18"/>
        <v xml:space="preserve"> </v>
      </c>
      <c r="I88" s="10" t="str">
        <f t="shared" ca="1" si="19"/>
        <v xml:space="preserve"> </v>
      </c>
      <c r="U88" s="31" t="str">
        <f ca="1">IF(B87=$D$4,XIRR($F$18:F87,$C$18:C87)," ")</f>
        <v xml:space="preserve"> </v>
      </c>
      <c r="W88" s="10">
        <f t="shared" si="16"/>
        <v>365</v>
      </c>
    </row>
    <row r="89" spans="2:23" x14ac:dyDescent="0.25">
      <c r="B89" s="10" t="str">
        <f t="shared" ca="1" si="12"/>
        <v xml:space="preserve"> </v>
      </c>
      <c r="C89" s="28" t="str">
        <f t="shared" ca="1" si="17"/>
        <v xml:space="preserve"> </v>
      </c>
      <c r="D89" s="10" t="str">
        <f t="shared" ca="1" si="13"/>
        <v xml:space="preserve"> </v>
      </c>
      <c r="I89" s="10" t="str">
        <f t="shared" ca="1" si="19"/>
        <v xml:space="preserve"> </v>
      </c>
      <c r="U89" s="31" t="str">
        <f ca="1">IF(B89=$D$4,XIRR(#REF!,$C$18:C88)," ")</f>
        <v xml:space="preserve"> </v>
      </c>
    </row>
  </sheetData>
  <sheetProtection algorithmName="SHA-512" hashValue="ERen++fiXMlpCkv8nDm+Z7Zgqn5rGiWaeXO1MHyTnr2Gq6JvzFsO4hngWI8aTGesoyREpBCC+QeHDiHBNb4XSg==" saltValue="pyiQJ7yGvJDkg0TJzmRrdQ==" spinCount="100000" sheet="1" objects="1" scenarios="1"/>
  <mergeCells count="25">
    <mergeCell ref="B5:C5"/>
    <mergeCell ref="S13:S16"/>
    <mergeCell ref="T13:T16"/>
    <mergeCell ref="G14:G16"/>
    <mergeCell ref="H14:H16"/>
    <mergeCell ref="I14:R14"/>
    <mergeCell ref="I15:L15"/>
    <mergeCell ref="M15:N15"/>
    <mergeCell ref="O15:R15"/>
    <mergeCell ref="B1:C1"/>
    <mergeCell ref="F13:F16"/>
    <mergeCell ref="G13:R13"/>
    <mergeCell ref="B3:C3"/>
    <mergeCell ref="B4:C4"/>
    <mergeCell ref="B12:C12"/>
    <mergeCell ref="E13:E16"/>
    <mergeCell ref="B13:B16"/>
    <mergeCell ref="B6:C6"/>
    <mergeCell ref="B7:C7"/>
    <mergeCell ref="B8:C8"/>
    <mergeCell ref="B9:C9"/>
    <mergeCell ref="B10:C10"/>
    <mergeCell ref="B11:C11"/>
    <mergeCell ref="C13:C16"/>
    <mergeCell ref="D13:D16"/>
  </mergeCells>
  <dataValidations count="3">
    <dataValidation type="list" allowBlank="1" showInputMessage="1" showErrorMessage="1" sqref="D12" xr:uid="{00000000-0002-0000-0000-000000000000}">
      <formula1>$G$1:$G$3</formula1>
    </dataValidation>
    <dataValidation type="list" allowBlank="1" showInputMessage="1" showErrorMessage="1" sqref="F9" xr:uid="{00000000-0002-0000-0000-000001000000}">
      <formula1>$AA$3:$AA$4</formula1>
    </dataValidation>
    <dataValidation type="list" allowBlank="1" showInputMessage="1" showErrorMessage="1" sqref="D4" xr:uid="{00000000-0002-0000-0000-000002000000}">
      <formula1>$Y$1:$Y$4</formula1>
    </dataValidation>
  </dataValidations>
  <pageMargins left="0.7" right="0.7" top="0.75" bottom="0.75" header="0.3" footer="0.3"/>
  <pageSetup paperSize="9" orientation="portrait" r:id="rId1"/>
  <ignoredErrors>
    <ignoredError sqref="D10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44"/>
  <sheetViews>
    <sheetView topLeftCell="B1" zoomScale="90" zoomScaleNormal="90" workbookViewId="0">
      <selection activeCell="G6" sqref="G6"/>
    </sheetView>
  </sheetViews>
  <sheetFormatPr defaultRowHeight="15" x14ac:dyDescent="0.25"/>
  <cols>
    <col min="1" max="1" width="0" style="10" hidden="1" customWidth="1"/>
    <col min="2" max="2" width="9.140625" style="10"/>
    <col min="3" max="3" width="30" style="10" customWidth="1"/>
    <col min="4" max="4" width="18" style="10" customWidth="1"/>
    <col min="5" max="5" width="15.85546875" style="10" customWidth="1"/>
    <col min="6" max="6" width="31.7109375" style="10" customWidth="1"/>
    <col min="7" max="7" width="14" style="10" customWidth="1"/>
    <col min="8" max="8" width="12.5703125" style="10" customWidth="1"/>
    <col min="9" max="9" width="16.7109375" style="10" customWidth="1"/>
    <col min="10" max="10" width="13.140625" style="10" customWidth="1"/>
    <col min="11" max="12" width="9.140625" style="10"/>
    <col min="13" max="13" width="9.140625" style="10" customWidth="1"/>
    <col min="14" max="14" width="13.42578125" style="10" customWidth="1"/>
    <col min="15" max="15" width="11.140625" style="10" customWidth="1"/>
    <col min="16" max="17" width="12" style="10" customWidth="1"/>
    <col min="18" max="18" width="9.140625" style="10" customWidth="1"/>
    <col min="19" max="19" width="11.85546875" style="10" customWidth="1"/>
    <col min="20" max="21" width="13.5703125" style="10" customWidth="1"/>
    <col min="22" max="26" width="9.140625" style="10"/>
    <col min="27" max="27" width="0" style="10" hidden="1" customWidth="1"/>
    <col min="28" max="16384" width="9.140625" style="10"/>
  </cols>
  <sheetData>
    <row r="1" spans="2:27" x14ac:dyDescent="0.25">
      <c r="B1" s="56"/>
      <c r="C1" s="56"/>
      <c r="E1" s="11"/>
      <c r="F1" s="11"/>
      <c r="G1" s="12" t="s">
        <v>33</v>
      </c>
      <c r="H1" s="11"/>
      <c r="I1" s="11"/>
      <c r="J1" s="11"/>
    </row>
    <row r="2" spans="2:27" ht="18.75" x14ac:dyDescent="0.3">
      <c r="B2" s="50" t="s">
        <v>0</v>
      </c>
      <c r="C2" s="50"/>
      <c r="D2" s="2">
        <f ca="1">TODAY()</f>
        <v>45441</v>
      </c>
      <c r="E2" s="14"/>
      <c r="F2" s="11"/>
      <c r="G2" s="15" t="s">
        <v>34</v>
      </c>
      <c r="H2" s="11"/>
      <c r="I2" s="11"/>
      <c r="J2" s="11"/>
      <c r="AA2" s="10" t="s">
        <v>36</v>
      </c>
    </row>
    <row r="3" spans="2:27" ht="18" customHeight="1" x14ac:dyDescent="0.3">
      <c r="B3" s="50" t="s">
        <v>1</v>
      </c>
      <c r="C3" s="50"/>
      <c r="D3" s="3">
        <v>120</v>
      </c>
      <c r="E3" s="11"/>
      <c r="F3" s="16" t="str">
        <f>IF(D3&gt;120,"макс строк 120 міс",IF(D3&lt;12,"мін строк 12 міс"," "))</f>
        <v xml:space="preserve"> </v>
      </c>
      <c r="G3" s="12">
        <f ca="1">SUM(G21:G89)</f>
        <v>103134.82863413001</v>
      </c>
      <c r="H3" s="11"/>
      <c r="I3" s="11"/>
      <c r="J3" s="11"/>
      <c r="AA3" s="10" t="s">
        <v>37</v>
      </c>
    </row>
    <row r="4" spans="2:27" ht="18" customHeight="1" x14ac:dyDescent="0.3">
      <c r="B4" s="35"/>
      <c r="C4" s="35" t="s">
        <v>40</v>
      </c>
      <c r="D4" s="6">
        <f>IF(F10="нет",D5,D5+D8*D5)</f>
        <v>509950</v>
      </c>
      <c r="E4" s="11"/>
      <c r="F4" s="16"/>
      <c r="G4" s="12"/>
      <c r="H4" s="11"/>
      <c r="I4" s="11"/>
      <c r="J4" s="11"/>
    </row>
    <row r="5" spans="2:27" ht="18.75" x14ac:dyDescent="0.3">
      <c r="B5" s="50" t="s">
        <v>2</v>
      </c>
      <c r="C5" s="50"/>
      <c r="D5" s="6">
        <v>500000</v>
      </c>
      <c r="E5" s="17"/>
      <c r="F5" s="10" t="str">
        <f>IF(D5&gt;2500000,"макс 2,5 млн грн",IF(D5&lt;100000,"мін сума 100 тис грн"," "))</f>
        <v xml:space="preserve"> </v>
      </c>
    </row>
    <row r="6" spans="2:27" ht="18.75" x14ac:dyDescent="0.3">
      <c r="B6" s="50" t="s">
        <v>3</v>
      </c>
      <c r="C6" s="50"/>
      <c r="D6" s="5">
        <v>0.35</v>
      </c>
      <c r="E6" s="18"/>
    </row>
    <row r="7" spans="2:27" ht="18.75" x14ac:dyDescent="0.3">
      <c r="B7" s="50" t="s">
        <v>4</v>
      </c>
      <c r="C7" s="50"/>
      <c r="D7" s="5">
        <v>0</v>
      </c>
      <c r="E7" s="19"/>
    </row>
    <row r="8" spans="2:27" ht="18.75" x14ac:dyDescent="0.3">
      <c r="B8" s="50" t="s">
        <v>5</v>
      </c>
      <c r="C8" s="50"/>
      <c r="D8" s="5">
        <v>1.9900000000000001E-2</v>
      </c>
      <c r="F8" s="15"/>
    </row>
    <row r="9" spans="2:27" ht="18.75" x14ac:dyDescent="0.3">
      <c r="B9" s="50" t="s">
        <v>38</v>
      </c>
      <c r="C9" s="50"/>
      <c r="D9" s="6">
        <v>1000000</v>
      </c>
      <c r="E9" s="15">
        <f>D5/D9</f>
        <v>0.5</v>
      </c>
      <c r="F9" s="33" t="str">
        <f>IF(E9&gt;0.5,"Залог должен превышать кредит в 2 раза"," ")</f>
        <v xml:space="preserve"> </v>
      </c>
    </row>
    <row r="10" spans="2:27" ht="18.75" x14ac:dyDescent="0.3">
      <c r="B10" s="50" t="s">
        <v>41</v>
      </c>
      <c r="C10" s="50"/>
      <c r="D10" s="5">
        <v>2.5000000000000001E-3</v>
      </c>
      <c r="F10" s="11" t="s">
        <v>36</v>
      </c>
    </row>
    <row r="11" spans="2:27" ht="18.75" x14ac:dyDescent="0.3">
      <c r="B11" s="50" t="s">
        <v>42</v>
      </c>
      <c r="C11" s="50"/>
      <c r="D11" s="5">
        <v>0</v>
      </c>
      <c r="F11" s="15"/>
    </row>
    <row r="12" spans="2:27" ht="18.75" hidden="1" x14ac:dyDescent="0.3">
      <c r="B12" s="50" t="s">
        <v>6</v>
      </c>
      <c r="C12" s="50"/>
      <c r="D12" s="2">
        <f ca="1">EDATE(D2,D3)</f>
        <v>49093</v>
      </c>
      <c r="E12" s="20"/>
      <c r="L12" s="21"/>
      <c r="M12" s="21"/>
      <c r="N12" s="21"/>
      <c r="O12" s="21"/>
      <c r="P12" s="21"/>
      <c r="Q12" s="21"/>
      <c r="R12" s="21"/>
      <c r="S12" s="22"/>
    </row>
    <row r="13" spans="2:27" ht="15.75" x14ac:dyDescent="0.25">
      <c r="B13" s="55" t="s">
        <v>31</v>
      </c>
      <c r="C13" s="55"/>
      <c r="D13" s="44">
        <f>-PMT(D6/12,D3,D4)</f>
        <v>15361.227958432815</v>
      </c>
      <c r="E13" s="10" t="s">
        <v>32</v>
      </c>
    </row>
    <row r="14" spans="2:27" ht="15.75" hidden="1" x14ac:dyDescent="0.25">
      <c r="B14" s="51" t="s">
        <v>35</v>
      </c>
      <c r="C14" s="51"/>
      <c r="D14" s="25" t="s">
        <v>34</v>
      </c>
      <c r="E14" s="26"/>
      <c r="F14" s="26">
        <v>0.36</v>
      </c>
    </row>
    <row r="15" spans="2:27" x14ac:dyDescent="0.25">
      <c r="B15" s="49" t="s">
        <v>30</v>
      </c>
      <c r="C15" s="49" t="s">
        <v>7</v>
      </c>
      <c r="D15" s="49" t="s">
        <v>8</v>
      </c>
      <c r="E15" s="52" t="s">
        <v>29</v>
      </c>
      <c r="F15" s="49" t="s">
        <v>9</v>
      </c>
      <c r="G15" s="49" t="s">
        <v>10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 t="s">
        <v>11</v>
      </c>
      <c r="T15" s="49" t="s">
        <v>12</v>
      </c>
    </row>
    <row r="16" spans="2:27" x14ac:dyDescent="0.25">
      <c r="B16" s="49"/>
      <c r="C16" s="49"/>
      <c r="D16" s="49"/>
      <c r="E16" s="53"/>
      <c r="F16" s="49"/>
      <c r="G16" s="49" t="s">
        <v>13</v>
      </c>
      <c r="H16" s="49" t="s">
        <v>14</v>
      </c>
      <c r="I16" s="49" t="s">
        <v>15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2:21" x14ac:dyDescent="0.25">
      <c r="B17" s="49"/>
      <c r="C17" s="49"/>
      <c r="D17" s="49"/>
      <c r="E17" s="53"/>
      <c r="F17" s="49"/>
      <c r="G17" s="49"/>
      <c r="H17" s="49"/>
      <c r="I17" s="49" t="s">
        <v>16</v>
      </c>
      <c r="J17" s="49"/>
      <c r="K17" s="49"/>
      <c r="L17" s="49"/>
      <c r="M17" s="49" t="s">
        <v>17</v>
      </c>
      <c r="N17" s="49"/>
      <c r="O17" s="49" t="s">
        <v>18</v>
      </c>
      <c r="P17" s="49"/>
      <c r="Q17" s="49"/>
      <c r="R17" s="49"/>
      <c r="S17" s="49"/>
      <c r="T17" s="49"/>
    </row>
    <row r="18" spans="2:21" ht="60" x14ac:dyDescent="0.25">
      <c r="B18" s="49"/>
      <c r="C18" s="49"/>
      <c r="D18" s="49"/>
      <c r="E18" s="54"/>
      <c r="F18" s="49"/>
      <c r="G18" s="49"/>
      <c r="H18" s="49"/>
      <c r="I18" s="27" t="s">
        <v>19</v>
      </c>
      <c r="J18" s="27" t="s">
        <v>20</v>
      </c>
      <c r="K18" s="27" t="s">
        <v>21</v>
      </c>
      <c r="L18" s="27" t="s">
        <v>22</v>
      </c>
      <c r="M18" s="27" t="s">
        <v>23</v>
      </c>
      <c r="N18" s="27" t="s">
        <v>24</v>
      </c>
      <c r="O18" s="27" t="s">
        <v>25</v>
      </c>
      <c r="P18" s="27" t="s">
        <v>26</v>
      </c>
      <c r="Q18" s="27" t="s">
        <v>27</v>
      </c>
      <c r="R18" s="27" t="s">
        <v>28</v>
      </c>
      <c r="S18" s="49"/>
      <c r="T18" s="49"/>
    </row>
    <row r="19" spans="2:21" x14ac:dyDescent="0.25">
      <c r="B19" s="27">
        <v>1</v>
      </c>
      <c r="C19" s="27">
        <v>2</v>
      </c>
      <c r="D19" s="27">
        <v>3</v>
      </c>
      <c r="E19" s="27"/>
      <c r="F19" s="27">
        <v>4</v>
      </c>
      <c r="G19" s="27">
        <v>5</v>
      </c>
      <c r="H19" s="27">
        <v>6</v>
      </c>
      <c r="I19" s="27">
        <v>7</v>
      </c>
      <c r="J19" s="27">
        <v>8</v>
      </c>
      <c r="K19" s="27">
        <v>9</v>
      </c>
      <c r="L19" s="27">
        <v>10</v>
      </c>
      <c r="M19" s="27">
        <v>11</v>
      </c>
      <c r="N19" s="27">
        <v>12</v>
      </c>
      <c r="O19" s="27">
        <v>13</v>
      </c>
      <c r="P19" s="10">
        <v>14</v>
      </c>
      <c r="Q19" s="10">
        <v>15</v>
      </c>
      <c r="R19" s="27">
        <v>16</v>
      </c>
      <c r="S19" s="27">
        <v>17</v>
      </c>
      <c r="T19" s="27">
        <v>18</v>
      </c>
    </row>
    <row r="20" spans="2:21" x14ac:dyDescent="0.25">
      <c r="B20" s="10">
        <v>0</v>
      </c>
      <c r="C20" s="28">
        <f ca="1">D2</f>
        <v>45441</v>
      </c>
      <c r="E20" s="17">
        <f>$D$4</f>
        <v>509950</v>
      </c>
      <c r="F20" s="17">
        <f>-D5+K20+O20+P20+Q20</f>
        <v>-477550</v>
      </c>
      <c r="G20" s="17"/>
      <c r="H20" s="17"/>
      <c r="K20" s="10">
        <f>D8*D5</f>
        <v>9950</v>
      </c>
      <c r="O20" s="10">
        <f>D9*0.1%+6000</f>
        <v>7000</v>
      </c>
      <c r="P20" s="10">
        <v>3000</v>
      </c>
      <c r="Q20" s="10">
        <f>$D$10*$D$9+$D$11*E20</f>
        <v>2500</v>
      </c>
      <c r="S20" s="29">
        <f ca="1">SUM(U23:U141)</f>
        <v>0.45493668913841256</v>
      </c>
      <c r="T20" s="30">
        <f ca="1">SUM(F21:F140)</f>
        <v>1865847.3550119419</v>
      </c>
    </row>
    <row r="21" spans="2:21" x14ac:dyDescent="0.25">
      <c r="B21" s="10">
        <v>1</v>
      </c>
      <c r="C21" s="28">
        <f ca="1">EDATE(C20,1)</f>
        <v>45472</v>
      </c>
      <c r="D21" s="10">
        <f ca="1">C21-C20</f>
        <v>31</v>
      </c>
      <c r="E21" s="17">
        <f ca="1">E20-G21</f>
        <v>509747.55971280008</v>
      </c>
      <c r="F21" s="17">
        <f ca="1">G21+H21+I21</f>
        <v>15361.227958432815</v>
      </c>
      <c r="G21" s="17">
        <f ca="1">IF(C21=" "," ",IF(C21=$D$12,$D$5-SUM($G20:G$21),($D$13-H21)))</f>
        <v>202.44028719993912</v>
      </c>
      <c r="H21" s="17">
        <f ca="1">IF($D$14="ні",E20*$D$6*D21/365,E20*$F$14*D21/365)</f>
        <v>15158.787671232876</v>
      </c>
      <c r="I21" s="10">
        <f ca="1">IF(C21=" "," ",IF($F$8="нет",$D$7*$D$5,($D$5*(1+$D$8))*$D$7))</f>
        <v>0</v>
      </c>
    </row>
    <row r="22" spans="2:21" x14ac:dyDescent="0.25">
      <c r="B22" s="10">
        <v>2</v>
      </c>
      <c r="C22" s="28">
        <f ca="1">IF(B21&gt;=$D$3, " ", EDATE(C21,1))</f>
        <v>45502</v>
      </c>
      <c r="D22" s="10">
        <f t="shared" ref="D22:D56" ca="1" si="0">IF(C22=" "," ",(C22-C21))</f>
        <v>30</v>
      </c>
      <c r="E22" s="17">
        <f ca="1">E21-G22</f>
        <v>509050.30265021493</v>
      </c>
      <c r="F22" s="17">
        <f ca="1">IF(C22=" "," ",G22+H22+I22)</f>
        <v>15361.227958432815</v>
      </c>
      <c r="G22" s="17">
        <f ca="1">IF(C22=" "," ",IF(C22=$D$12,$D$5-SUM($G$21:G21),($D$13-H22)))</f>
        <v>697.25706258514401</v>
      </c>
      <c r="H22" s="17">
        <f ca="1">IF($D$14="ні",E21*$D$6*D22/365,E21*$F$14*D22/365)</f>
        <v>14663.970895847671</v>
      </c>
      <c r="I22" s="10">
        <f ca="1">IF(C22=" "," ",IF($F$8="нет",$D$7*$D$5,($D$5*(1+$D$8))*$D$7))</f>
        <v>0</v>
      </c>
    </row>
    <row r="23" spans="2:21" x14ac:dyDescent="0.25">
      <c r="B23" s="10">
        <f t="shared" ref="B23:B56" ca="1" si="1">IF(C23 =" "," ",B22+1)</f>
        <v>3</v>
      </c>
      <c r="C23" s="28">
        <f t="shared" ref="C23:C86" ca="1" si="2">IF(B22&gt;=$D$3, " ", EDATE(C22,1))</f>
        <v>45533</v>
      </c>
      <c r="D23" s="10">
        <f t="shared" ca="1" si="0"/>
        <v>31</v>
      </c>
      <c r="E23" s="17">
        <f t="shared" ref="E23:E25" ca="1" si="3">E22-G23</f>
        <v>508821.11793494603</v>
      </c>
      <c r="F23" s="17">
        <f ca="1">IF(C23=" "," ",G23+H23+I23)</f>
        <v>15361.227958432815</v>
      </c>
      <c r="G23" s="17">
        <f ca="1">IF(C23=" "," ",IF(C23=$D$12,$D$5-SUM($G$21:G22),($D$13-H23)))</f>
        <v>229.18471526889334</v>
      </c>
      <c r="H23" s="17">
        <f ca="1">IF($D$14="ні",E22*$D$6*D23/365,E22*$F$14*D23/365)</f>
        <v>15132.043243163922</v>
      </c>
      <c r="I23" s="10">
        <f t="shared" ref="I23:I86" ca="1" si="4">IF(C23=" "," ",IF($F$8="нет",$D$7*$D$5,($D$5*(1+$D$8))*$D$7))</f>
        <v>0</v>
      </c>
      <c r="U23" s="31" t="str">
        <f>IF(B22=$D$3,XIRR(#REF!,$C$20:C22)," ")</f>
        <v xml:space="preserve"> </v>
      </c>
    </row>
    <row r="24" spans="2:21" x14ac:dyDescent="0.25">
      <c r="B24" s="10">
        <f t="shared" ca="1" si="1"/>
        <v>4</v>
      </c>
      <c r="C24" s="28">
        <f t="shared" ca="1" si="2"/>
        <v>45564</v>
      </c>
      <c r="D24" s="10">
        <f t="shared" ca="1" si="0"/>
        <v>31</v>
      </c>
      <c r="E24" s="17">
        <f t="shared" ca="1" si="3"/>
        <v>508585.12046855199</v>
      </c>
      <c r="F24" s="17">
        <f ca="1">IF(C24=" "," ",G24+H24+I24)</f>
        <v>15361.227958432815</v>
      </c>
      <c r="G24" s="17">
        <f ca="1">IF(C24=" "," ",IF(C24=$D$12,$D$5-SUM($G$21:G23),($D$13-H24)))</f>
        <v>235.99746639401019</v>
      </c>
      <c r="H24" s="17">
        <f t="shared" ref="H24:H87" ca="1" si="5">IF(C24=" "," ",E23*$D$6*D24/365)</f>
        <v>15125.230492038805</v>
      </c>
      <c r="I24" s="10">
        <f t="shared" ca="1" si="4"/>
        <v>0</v>
      </c>
      <c r="U24" s="31" t="str">
        <f ca="1">IF(B23=$D$3,XIRR($F$20:F23,$C$20:C23)," ")</f>
        <v xml:space="preserve"> </v>
      </c>
    </row>
    <row r="25" spans="2:21" x14ac:dyDescent="0.25">
      <c r="B25" s="10">
        <f t="shared" ca="1" si="1"/>
        <v>5</v>
      </c>
      <c r="C25" s="28">
        <f t="shared" ca="1" si="2"/>
        <v>45594</v>
      </c>
      <c r="D25" s="10">
        <f t="shared" ca="1" si="0"/>
        <v>30</v>
      </c>
      <c r="E25" s="17">
        <f t="shared" ca="1" si="3"/>
        <v>507854.42337291315</v>
      </c>
      <c r="F25" s="17">
        <f ca="1">IF(C25=" "," ",G25+H25+I25)</f>
        <v>15361.227958432815</v>
      </c>
      <c r="G25" s="17">
        <f ca="1">IF(C25=" "," ",IF(C25=$D$12,$D$5-SUM($G$21:G24),($D$13-H25)))</f>
        <v>730.6970956388559</v>
      </c>
      <c r="H25" s="17">
        <f t="shared" ca="1" si="5"/>
        <v>14630.530862793959</v>
      </c>
      <c r="I25" s="10">
        <f t="shared" ca="1" si="4"/>
        <v>0</v>
      </c>
      <c r="U25" s="31" t="str">
        <f ca="1">IF(B24=$D$3,XIRR($F$20:F24,$C$20:C24)," ")</f>
        <v xml:space="preserve"> </v>
      </c>
    </row>
    <row r="26" spans="2:21" x14ac:dyDescent="0.25">
      <c r="B26" s="10">
        <f t="shared" ca="1" si="1"/>
        <v>6</v>
      </c>
      <c r="C26" s="28">
        <f t="shared" ca="1" si="2"/>
        <v>45625</v>
      </c>
      <c r="D26" s="10">
        <f t="shared" ca="1" si="0"/>
        <v>31</v>
      </c>
      <c r="E26" s="17">
        <f t="shared" ref="E26:E44" ca="1" si="6">IF(C26=" "," ",E25-G26)</f>
        <v>507589.68991748337</v>
      </c>
      <c r="F26" s="17">
        <f t="shared" ref="F26:F31" ca="1" si="7">IF(C26=" "," ",G26+H26+I26)</f>
        <v>15361.227958432815</v>
      </c>
      <c r="G26" s="17">
        <f ca="1">IF(C26=" "," ",IF(C26=$D$12,$D$5-SUM($G$21:G25),($D$13-H26)))</f>
        <v>264.73345542978132</v>
      </c>
      <c r="H26" s="17">
        <f t="shared" ca="1" si="5"/>
        <v>15096.494503003034</v>
      </c>
      <c r="I26" s="10">
        <f t="shared" ca="1" si="4"/>
        <v>0</v>
      </c>
      <c r="U26" s="31" t="str">
        <f ca="1">IF(B25=$D$3,XIRR($F$20:F25,$C$20:C25)," ")</f>
        <v xml:space="preserve"> </v>
      </c>
    </row>
    <row r="27" spans="2:21" x14ac:dyDescent="0.25">
      <c r="B27" s="10">
        <f t="shared" ca="1" si="1"/>
        <v>7</v>
      </c>
      <c r="C27" s="28">
        <f t="shared" ca="1" si="2"/>
        <v>45655</v>
      </c>
      <c r="D27" s="10">
        <f t="shared" ca="1" si="0"/>
        <v>30</v>
      </c>
      <c r="E27" s="17">
        <f t="shared" ca="1" si="6"/>
        <v>506830.35714845761</v>
      </c>
      <c r="F27" s="17">
        <f t="shared" ca="1" si="7"/>
        <v>15361.227958432815</v>
      </c>
      <c r="G27" s="17">
        <f ca="1">IF(C27=" "," ",IF(C27=$D$12,$D$4-SUM($G$21:G26),($D$13-H27)))</f>
        <v>759.33276902576108</v>
      </c>
      <c r="H27" s="17">
        <f t="shared" ca="1" si="5"/>
        <v>14601.895189407054</v>
      </c>
      <c r="I27" s="10">
        <f t="shared" ca="1" si="4"/>
        <v>0</v>
      </c>
      <c r="U27" s="31" t="str">
        <f ca="1">IF(B26=$D$3,XIRR($F$20:F26,$C$20:C26)," ")</f>
        <v xml:space="preserve"> </v>
      </c>
    </row>
    <row r="28" spans="2:21" x14ac:dyDescent="0.25">
      <c r="B28" s="10">
        <f t="shared" ca="1" si="1"/>
        <v>8</v>
      </c>
      <c r="C28" s="28">
        <f t="shared" ca="1" si="2"/>
        <v>45686</v>
      </c>
      <c r="D28" s="10">
        <f t="shared" ca="1" si="0"/>
        <v>31</v>
      </c>
      <c r="E28" s="17">
        <f t="shared" ca="1" si="6"/>
        <v>506535.18227238307</v>
      </c>
      <c r="F28" s="17">
        <f t="shared" ca="1" si="7"/>
        <v>15361.227958432815</v>
      </c>
      <c r="G28" s="17">
        <f ca="1">IF(C28=" "," ",IF(C28=$D$12,$D$4-SUM($G$21:G27),($D$13-H28)))</f>
        <v>295.17487607455769</v>
      </c>
      <c r="H28" s="17">
        <f t="shared" ca="1" si="5"/>
        <v>15066.053082358258</v>
      </c>
      <c r="I28" s="10">
        <f t="shared" ca="1" si="4"/>
        <v>0</v>
      </c>
      <c r="U28" s="31" t="str">
        <f ca="1">IF(B27=$D$3,XIRR($F$20:F27,$C$20:C27)," ")</f>
        <v xml:space="preserve"> </v>
      </c>
    </row>
    <row r="29" spans="2:21" x14ac:dyDescent="0.25">
      <c r="B29" s="10">
        <f t="shared" ca="1" si="1"/>
        <v>9</v>
      </c>
      <c r="C29" s="28">
        <f t="shared" ca="1" si="2"/>
        <v>45716</v>
      </c>
      <c r="D29" s="10">
        <f t="shared" ca="1" si="0"/>
        <v>30</v>
      </c>
      <c r="E29" s="17">
        <f t="shared" ca="1" si="6"/>
        <v>505745.5143519229</v>
      </c>
      <c r="F29" s="17">
        <f t="shared" ca="1" si="7"/>
        <v>15361.227958432815</v>
      </c>
      <c r="G29" s="17">
        <f ca="1">IF(C29=" "," ",IF(C29=$D$12,$D$4-SUM($G$21:G28),($D$13-H29)))</f>
        <v>789.66792046015144</v>
      </c>
      <c r="H29" s="17">
        <f t="shared" ca="1" si="5"/>
        <v>14571.560037972664</v>
      </c>
      <c r="I29" s="10">
        <f t="shared" ca="1" si="4"/>
        <v>0</v>
      </c>
      <c r="U29" s="31" t="str">
        <f ca="1">IF(B28=$D$3,XIRR($F$20:F28,$C$20:C28)," ")</f>
        <v xml:space="preserve"> </v>
      </c>
    </row>
    <row r="30" spans="2:21" x14ac:dyDescent="0.25">
      <c r="B30" s="10">
        <f t="shared" ca="1" si="1"/>
        <v>10</v>
      </c>
      <c r="C30" s="28">
        <f t="shared" ca="1" si="2"/>
        <v>45744</v>
      </c>
      <c r="D30" s="10">
        <f t="shared" ca="1" si="0"/>
        <v>28</v>
      </c>
      <c r="E30" s="17">
        <f t="shared" ca="1" si="6"/>
        <v>503963.20705280197</v>
      </c>
      <c r="F30" s="17">
        <f t="shared" ca="1" si="7"/>
        <v>15361.227958432815</v>
      </c>
      <c r="G30" s="17">
        <f ca="1">IF(C30=" "," ",IF(C30=$D$12,$D$4-SUM($G$21:G29),($D$13-H30)))</f>
        <v>1782.3072991209137</v>
      </c>
      <c r="H30" s="17">
        <f t="shared" ca="1" si="5"/>
        <v>13578.920659311902</v>
      </c>
      <c r="I30" s="10">
        <f t="shared" ca="1" si="4"/>
        <v>0</v>
      </c>
      <c r="U30" s="31" t="str">
        <f ca="1">IF(B29=$D$3,XIRR($F$20:F29,$C$20:C29)," ")</f>
        <v xml:space="preserve"> </v>
      </c>
    </row>
    <row r="31" spans="2:21" x14ac:dyDescent="0.25">
      <c r="B31" s="10">
        <f t="shared" ca="1" si="1"/>
        <v>11</v>
      </c>
      <c r="C31" s="28">
        <f t="shared" ca="1" si="2"/>
        <v>45775</v>
      </c>
      <c r="D31" s="10">
        <f t="shared" ca="1" si="0"/>
        <v>31</v>
      </c>
      <c r="E31" s="17">
        <f t="shared" ca="1" si="6"/>
        <v>503582.80319443188</v>
      </c>
      <c r="F31" s="17">
        <f t="shared" ca="1" si="7"/>
        <v>15361.227958432815</v>
      </c>
      <c r="G31" s="17">
        <f ca="1">IF(C31=" "," ",IF(C31=$D$12,$D$4-SUM($G$21:G30),($D$13-H31)))</f>
        <v>380.40385837007489</v>
      </c>
      <c r="H31" s="17">
        <f t="shared" ca="1" si="5"/>
        <v>14980.82410006274</v>
      </c>
      <c r="I31" s="10">
        <f t="shared" ca="1" si="4"/>
        <v>0</v>
      </c>
      <c r="U31" s="31" t="str">
        <f ca="1">IF(B30=$D$3,XIRR($F$20:F30,$C$20:C30)," ")</f>
        <v xml:space="preserve"> </v>
      </c>
    </row>
    <row r="32" spans="2:21" x14ac:dyDescent="0.25">
      <c r="B32" s="10">
        <f t="shared" ca="1" si="1"/>
        <v>12</v>
      </c>
      <c r="C32" s="28">
        <f t="shared" ca="1" si="2"/>
        <v>45805</v>
      </c>
      <c r="D32" s="10">
        <f t="shared" ca="1" si="0"/>
        <v>30</v>
      </c>
      <c r="E32" s="17">
        <f t="shared" ca="1" si="6"/>
        <v>502708.20382104436</v>
      </c>
      <c r="F32" s="17">
        <f ca="1">IF(C32=" "," ",G32+H32+I32+Q32)</f>
        <v>15361.227958432815</v>
      </c>
      <c r="G32" s="17">
        <f ca="1">IF(C32=" "," ",IF(C32=$D$12,$D$4-SUM($G$21:G31),($D$13-H32)))</f>
        <v>874.59937338751479</v>
      </c>
      <c r="H32" s="17">
        <f t="shared" ca="1" si="5"/>
        <v>14486.6285850453</v>
      </c>
      <c r="I32" s="10">
        <f t="shared" ca="1" si="4"/>
        <v>0</v>
      </c>
      <c r="Q32" s="32"/>
      <c r="U32" s="31" t="str">
        <f ca="1">IF(B31=$D$3,XIRR($F$20:F31,$C$20:C31)," ")</f>
        <v xml:space="preserve"> </v>
      </c>
    </row>
    <row r="33" spans="2:21" x14ac:dyDescent="0.25">
      <c r="B33" s="10">
        <f t="shared" ca="1" si="1"/>
        <v>13</v>
      </c>
      <c r="C33" s="28">
        <f t="shared" ca="1" si="2"/>
        <v>45836</v>
      </c>
      <c r="D33" s="10">
        <f t="shared" ca="1" si="0"/>
        <v>31</v>
      </c>
      <c r="E33" s="17">
        <f t="shared" ca="1" si="6"/>
        <v>502290.49370222341</v>
      </c>
      <c r="F33" s="17">
        <f t="shared" ref="F33:F96" ca="1" si="8">IF(C33=" "," ",G33+H33+I33+Q33)</f>
        <v>17861.227958432813</v>
      </c>
      <c r="G33" s="17">
        <f ca="1">IF(C33=" "," ",IF(C33=$D$12,$D$4-SUM($G$21:G32),($D$13-H33)))</f>
        <v>417.71011882095081</v>
      </c>
      <c r="H33" s="17">
        <f t="shared" ca="1" si="5"/>
        <v>14943.517839611864</v>
      </c>
      <c r="I33" s="10">
        <f t="shared" ca="1" si="4"/>
        <v>0</v>
      </c>
      <c r="Q33" s="32">
        <f ca="1">IF(B33=" "," ",$D$10*$D$9+$D$11*E33)</f>
        <v>2500</v>
      </c>
      <c r="U33" s="31" t="str">
        <f ca="1">IF(B32=$D$3,XIRR($F$20:F32,$C$20:C32)," ")</f>
        <v xml:space="preserve"> </v>
      </c>
    </row>
    <row r="34" spans="2:21" x14ac:dyDescent="0.25">
      <c r="B34" s="10">
        <f t="shared" ca="1" si="1"/>
        <v>14</v>
      </c>
      <c r="C34" s="28">
        <f t="shared" ca="1" si="2"/>
        <v>45866</v>
      </c>
      <c r="D34" s="10">
        <f t="shared" ca="1" si="0"/>
        <v>30</v>
      </c>
      <c r="E34" s="17">
        <f t="shared" ca="1" si="6"/>
        <v>501378.7183023477</v>
      </c>
      <c r="F34" s="17">
        <f t="shared" ca="1" si="8"/>
        <v>15361.227958432815</v>
      </c>
      <c r="G34" s="17">
        <f ca="1">IF(C34=" "," ",IF(C34=$D$12,$D$4-SUM($G$21:G33),($D$13-H34)))</f>
        <v>911.77539987570526</v>
      </c>
      <c r="H34" s="17">
        <f t="shared" ca="1" si="5"/>
        <v>14449.45255855711</v>
      </c>
      <c r="I34" s="10">
        <f t="shared" ca="1" si="4"/>
        <v>0</v>
      </c>
      <c r="Q34" s="32"/>
      <c r="U34" s="31" t="str">
        <f ca="1">IF(B33=$D$3,XIRR($F$20:F33,$C$20:C33)," ")</f>
        <v xml:space="preserve"> </v>
      </c>
    </row>
    <row r="35" spans="2:21" x14ac:dyDescent="0.25">
      <c r="B35" s="10">
        <f t="shared" ca="1" si="1"/>
        <v>15</v>
      </c>
      <c r="C35" s="28">
        <f t="shared" ca="1" si="2"/>
        <v>45897</v>
      </c>
      <c r="D35" s="10">
        <f t="shared" ca="1" si="0"/>
        <v>31</v>
      </c>
      <c r="E35" s="17">
        <f t="shared" ca="1" si="6"/>
        <v>500921.48786057369</v>
      </c>
      <c r="F35" s="17">
        <f t="shared" ca="1" si="8"/>
        <v>15361.227958432815</v>
      </c>
      <c r="G35" s="17">
        <f ca="1">IF(C35=" "," ",IF(C35=$D$12,$D$4-SUM($G$21:G34),($D$13-H35)))</f>
        <v>457.23044177398697</v>
      </c>
      <c r="H35" s="17">
        <f t="shared" ca="1" si="5"/>
        <v>14903.997516658828</v>
      </c>
      <c r="I35" s="10">
        <f t="shared" ca="1" si="4"/>
        <v>0</v>
      </c>
      <c r="Q35" s="32"/>
      <c r="U35" s="31" t="str">
        <f ca="1">IF(B34=$D$3,XIRR($F$20:F34,$C$20:C34)," ")</f>
        <v xml:space="preserve"> </v>
      </c>
    </row>
    <row r="36" spans="2:21" x14ac:dyDescent="0.25">
      <c r="B36" s="10">
        <f t="shared" ca="1" si="1"/>
        <v>16</v>
      </c>
      <c r="C36" s="28">
        <f t="shared" ca="1" si="2"/>
        <v>45928</v>
      </c>
      <c r="D36" s="10">
        <f t="shared" ca="1" si="0"/>
        <v>31</v>
      </c>
      <c r="E36" s="17">
        <f t="shared" ca="1" si="6"/>
        <v>500450.66577416065</v>
      </c>
      <c r="F36" s="17">
        <f t="shared" ca="1" si="8"/>
        <v>15361.227958432815</v>
      </c>
      <c r="G36" s="17">
        <f ca="1">IF(C36=" "," ",IF(C36=$D$12,$D$4-SUM($G$21:G35),($D$13-H36)))</f>
        <v>470.82208641302168</v>
      </c>
      <c r="H36" s="17">
        <f t="shared" ca="1" si="5"/>
        <v>14890.405872019794</v>
      </c>
      <c r="I36" s="10">
        <f t="shared" ca="1" si="4"/>
        <v>0</v>
      </c>
      <c r="Q36" s="32"/>
      <c r="U36" s="31" t="str">
        <f ca="1">IF(B35=$D$3,XIRR($F$20:F35,$C$20:C35)," ")</f>
        <v xml:space="preserve"> </v>
      </c>
    </row>
    <row r="37" spans="2:21" x14ac:dyDescent="0.25">
      <c r="B37" s="10">
        <f t="shared" ca="1" si="1"/>
        <v>17</v>
      </c>
      <c r="C37" s="28">
        <f t="shared" ca="1" si="2"/>
        <v>45958</v>
      </c>
      <c r="D37" s="10">
        <f t="shared" ca="1" si="0"/>
        <v>30</v>
      </c>
      <c r="E37" s="17">
        <f t="shared" ca="1" si="6"/>
        <v>499485.96381745028</v>
      </c>
      <c r="F37" s="17">
        <f t="shared" ca="1" si="8"/>
        <v>15361.227958432815</v>
      </c>
      <c r="G37" s="17">
        <f ca="1">IF(C37=" "," ",IF(C37=$D$12,$D$4-SUM($G$21:G36),($D$13-H37)))</f>
        <v>964.70195671038528</v>
      </c>
      <c r="H37" s="17">
        <f t="shared" ca="1" si="5"/>
        <v>14396.52600172243</v>
      </c>
      <c r="I37" s="10">
        <f t="shared" ca="1" si="4"/>
        <v>0</v>
      </c>
      <c r="Q37" s="32"/>
      <c r="U37" s="31" t="str">
        <f ca="1">IF(B36=$D$3,XIRR($F$20:F36,$C$20:C36)," ")</f>
        <v xml:space="preserve"> </v>
      </c>
    </row>
    <row r="38" spans="2:21" x14ac:dyDescent="0.25">
      <c r="B38" s="10">
        <f t="shared" ca="1" si="1"/>
        <v>18</v>
      </c>
      <c r="C38" s="28">
        <f t="shared" ca="1" si="2"/>
        <v>45989</v>
      </c>
      <c r="D38" s="10">
        <f t="shared" ca="1" si="0"/>
        <v>31</v>
      </c>
      <c r="E38" s="17">
        <f t="shared" ca="1" si="6"/>
        <v>498972.46930400195</v>
      </c>
      <c r="F38" s="17">
        <f t="shared" ca="1" si="8"/>
        <v>15361.227958432815</v>
      </c>
      <c r="G38" s="17">
        <f ca="1">IF(C38=" "," ",IF(C38=$D$12,$D$4-SUM($G$21:G37),($D$13-H38)))</f>
        <v>513.49451344833324</v>
      </c>
      <c r="H38" s="17">
        <f t="shared" ca="1" si="5"/>
        <v>14847.733444984482</v>
      </c>
      <c r="I38" s="10">
        <f t="shared" ca="1" si="4"/>
        <v>0</v>
      </c>
      <c r="Q38" s="32"/>
      <c r="U38" s="31" t="str">
        <f ca="1">IF(B37=$D$3,XIRR($F$20:F37,$C$20:C37)," ")</f>
        <v xml:space="preserve"> </v>
      </c>
    </row>
    <row r="39" spans="2:21" x14ac:dyDescent="0.25">
      <c r="B39" s="10">
        <f t="shared" ca="1" si="1"/>
        <v>19</v>
      </c>
      <c r="C39" s="28">
        <f t="shared" ca="1" si="2"/>
        <v>46019</v>
      </c>
      <c r="D39" s="10">
        <f t="shared" ca="1" si="0"/>
        <v>30</v>
      </c>
      <c r="E39" s="17">
        <f t="shared" ca="1" si="6"/>
        <v>497965.24388719111</v>
      </c>
      <c r="F39" s="17">
        <f t="shared" ca="1" si="8"/>
        <v>15361.227958432815</v>
      </c>
      <c r="G39" s="17">
        <f ca="1">IF(C39=" "," ",IF(C39=$D$12,$D$4-SUM($G$21:G38),($D$13-H39)))</f>
        <v>1007.2254168108411</v>
      </c>
      <c r="H39" s="17">
        <f t="shared" ca="1" si="5"/>
        <v>14354.002541621974</v>
      </c>
      <c r="I39" s="10">
        <f t="shared" ca="1" si="4"/>
        <v>0</v>
      </c>
      <c r="Q39" s="32"/>
      <c r="U39" s="31" t="str">
        <f ca="1">IF(B38=$D$3,XIRR($F$20:F38,$C$20:C38)," ")</f>
        <v xml:space="preserve"> </v>
      </c>
    </row>
    <row r="40" spans="2:21" x14ac:dyDescent="0.25">
      <c r="B40" s="10">
        <f t="shared" ca="1" si="1"/>
        <v>20</v>
      </c>
      <c r="C40" s="28">
        <f t="shared" ca="1" si="2"/>
        <v>46050</v>
      </c>
      <c r="D40" s="10">
        <f t="shared" ca="1" si="0"/>
        <v>31</v>
      </c>
      <c r="E40" s="17">
        <f t="shared" ca="1" si="6"/>
        <v>497406.54441143235</v>
      </c>
      <c r="F40" s="17">
        <f t="shared" ca="1" si="8"/>
        <v>15361.227958432815</v>
      </c>
      <c r="G40" s="17">
        <f ca="1">IF(C40=" "," ",IF(C40=$D$12,$D$4-SUM($G$21:G39),($D$13-H40)))</f>
        <v>558.69947575877814</v>
      </c>
      <c r="H40" s="17">
        <f t="shared" ca="1" si="5"/>
        <v>14802.528482674037</v>
      </c>
      <c r="I40" s="10">
        <f t="shared" ca="1" si="4"/>
        <v>0</v>
      </c>
      <c r="Q40" s="32"/>
      <c r="U40" s="31" t="str">
        <f ca="1">IF(B39=$D$3,XIRR($F$20:F39,$C$20:C39)," ")</f>
        <v xml:space="preserve"> </v>
      </c>
    </row>
    <row r="41" spans="2:21" x14ac:dyDescent="0.25">
      <c r="B41" s="10">
        <f t="shared" ca="1" si="1"/>
        <v>21</v>
      </c>
      <c r="C41" s="28">
        <f t="shared" ca="1" si="2"/>
        <v>46081</v>
      </c>
      <c r="D41" s="10">
        <f t="shared" ca="1" si="0"/>
        <v>31</v>
      </c>
      <c r="E41" s="17">
        <f t="shared" ca="1" si="6"/>
        <v>496831.23701975035</v>
      </c>
      <c r="F41" s="17">
        <f t="shared" ca="1" si="8"/>
        <v>15361.227958432815</v>
      </c>
      <c r="G41" s="17">
        <f ca="1">IF(C41=" "," ",IF(C41=$D$12,$D$4-SUM($G$21:G40),($D$13-H41)))</f>
        <v>575.30739168201944</v>
      </c>
      <c r="H41" s="17">
        <f t="shared" ca="1" si="5"/>
        <v>14785.920566750796</v>
      </c>
      <c r="I41" s="10">
        <f t="shared" ca="1" si="4"/>
        <v>0</v>
      </c>
      <c r="Q41" s="32"/>
      <c r="U41" s="31" t="str">
        <f ca="1">IF(B40=$D$3,XIRR($F$20:F40,$C$20:C40)," ")</f>
        <v xml:space="preserve"> </v>
      </c>
    </row>
    <row r="42" spans="2:21" x14ac:dyDescent="0.25">
      <c r="B42" s="10">
        <f t="shared" ca="1" si="1"/>
        <v>22</v>
      </c>
      <c r="C42" s="28">
        <f t="shared" ca="1" si="2"/>
        <v>46109</v>
      </c>
      <c r="D42" s="10">
        <f t="shared" ca="1" si="0"/>
        <v>28</v>
      </c>
      <c r="E42" s="17">
        <f t="shared" ca="1" si="6"/>
        <v>494809.58747993002</v>
      </c>
      <c r="F42" s="17">
        <f t="shared" ca="1" si="8"/>
        <v>15361.227958432815</v>
      </c>
      <c r="G42" s="17">
        <f ca="1">IF(C42=" "," ",IF(C42=$D$12,$D$4-SUM($G$21:G41),($D$13-H42)))</f>
        <v>2021.6495398203406</v>
      </c>
      <c r="H42" s="17">
        <f t="shared" ca="1" si="5"/>
        <v>13339.578418612475</v>
      </c>
      <c r="I42" s="10">
        <f t="shared" ca="1" si="4"/>
        <v>0</v>
      </c>
      <c r="Q42" s="32"/>
      <c r="U42" s="31" t="str">
        <f ca="1">IF(B41=$D$3,XIRR($F$20:F41,$C$20:C41)," ")</f>
        <v xml:space="preserve"> </v>
      </c>
    </row>
    <row r="43" spans="2:21" x14ac:dyDescent="0.25">
      <c r="B43" s="10">
        <f t="shared" ca="1" si="1"/>
        <v>23</v>
      </c>
      <c r="C43" s="28">
        <f t="shared" ca="1" si="2"/>
        <v>46140</v>
      </c>
      <c r="D43" s="10">
        <f t="shared" ca="1" si="0"/>
        <v>31</v>
      </c>
      <c r="E43" s="17">
        <f t="shared" ca="1" si="6"/>
        <v>494157.08287535264</v>
      </c>
      <c r="F43" s="17">
        <f t="shared" ca="1" si="8"/>
        <v>15361.227958432815</v>
      </c>
      <c r="G43" s="17">
        <f ca="1">IF(C43=" "," ",IF(C43=$D$12,$D$4-SUM($G$21:G42),($D$13-H43)))</f>
        <v>652.50460457736335</v>
      </c>
      <c r="H43" s="17">
        <f t="shared" ca="1" si="5"/>
        <v>14708.723353855452</v>
      </c>
      <c r="I43" s="10">
        <f t="shared" ca="1" si="4"/>
        <v>0</v>
      </c>
      <c r="Q43" s="32"/>
      <c r="U43" s="31" t="str">
        <f ca="1">IF(B42=$D$3,XIRR($F$20:F42,$C$20:C42)," ")</f>
        <v xml:space="preserve"> </v>
      </c>
    </row>
    <row r="44" spans="2:21" x14ac:dyDescent="0.25">
      <c r="B44" s="10">
        <f t="shared" ca="1" si="1"/>
        <v>24</v>
      </c>
      <c r="C44" s="28">
        <f t="shared" ca="1" si="2"/>
        <v>46170</v>
      </c>
      <c r="D44" s="10">
        <f t="shared" ca="1" si="0"/>
        <v>30</v>
      </c>
      <c r="E44" s="17">
        <f t="shared" ca="1" si="6"/>
        <v>493011.33264347108</v>
      </c>
      <c r="F44" s="17">
        <f t="shared" ca="1" si="8"/>
        <v>15361.227958432815</v>
      </c>
      <c r="G44" s="17">
        <f ca="1">IF(C44=" "," ",IF(C44=$D$12,$D$4-SUM($G$21:G43),($D$13-H44)))</f>
        <v>1145.750231881575</v>
      </c>
      <c r="H44" s="17">
        <f t="shared" ca="1" si="5"/>
        <v>14215.47772655124</v>
      </c>
      <c r="I44" s="10">
        <f t="shared" ca="1" si="4"/>
        <v>0</v>
      </c>
      <c r="Q44" s="32"/>
      <c r="U44" s="31" t="str">
        <f ca="1">IF(B43=$D$3,XIRR($F$20:F43,$C$20:C43)," ")</f>
        <v xml:space="preserve"> </v>
      </c>
    </row>
    <row r="45" spans="2:21" x14ac:dyDescent="0.25">
      <c r="B45" s="10">
        <f t="shared" ca="1" si="1"/>
        <v>25</v>
      </c>
      <c r="C45" s="28">
        <f t="shared" ca="1" si="2"/>
        <v>46201</v>
      </c>
      <c r="D45" s="10">
        <f t="shared" ca="1" si="0"/>
        <v>31</v>
      </c>
      <c r="E45" s="17">
        <f ca="1">IF(C45=" "," ",E44-G45)</f>
        <v>492305.37306635786</v>
      </c>
      <c r="F45" s="17">
        <f t="shared" ca="1" si="8"/>
        <v>17861.227958432813</v>
      </c>
      <c r="G45" s="17">
        <f ca="1">IF(C45=" "," ",IF(C45=$D$12,$D$4-SUM($G$21:G44),($D$13-H45)))</f>
        <v>705.95957711319716</v>
      </c>
      <c r="H45" s="17">
        <f t="shared" ca="1" si="5"/>
        <v>14655.268381319618</v>
      </c>
      <c r="I45" s="10">
        <f t="shared" ca="1" si="4"/>
        <v>0</v>
      </c>
      <c r="Q45" s="32">
        <f ca="1">IF(B45=" "," ",$D$10*$D$9+$D$11*E45)</f>
        <v>2500</v>
      </c>
      <c r="U45" s="31" t="str">
        <f ca="1">IF(B44=$D$3,XIRR($F$20:F44,$C$20:C44)," ")</f>
        <v xml:space="preserve"> </v>
      </c>
    </row>
    <row r="46" spans="2:21" x14ac:dyDescent="0.25">
      <c r="B46" s="10">
        <f t="shared" ca="1" si="1"/>
        <v>26</v>
      </c>
      <c r="C46" s="28">
        <f t="shared" ca="1" si="2"/>
        <v>46231</v>
      </c>
      <c r="D46" s="10">
        <f t="shared" ca="1" si="0"/>
        <v>30</v>
      </c>
      <c r="E46" s="17">
        <f t="shared" ref="E46:E109" ca="1" si="9">IF(C46=" "," ",E45-G46)</f>
        <v>491106.35447010794</v>
      </c>
      <c r="F46" s="17">
        <f t="shared" ca="1" si="8"/>
        <v>15361.227958432815</v>
      </c>
      <c r="G46" s="17">
        <f ca="1">IF(C46=" "," ",IF(C46=$D$12,$D$4-SUM($G$21:G45),($D$13-H46)))</f>
        <v>1199.0185962499181</v>
      </c>
      <c r="H46" s="17">
        <f t="shared" ca="1" si="5"/>
        <v>14162.209362182897</v>
      </c>
      <c r="I46" s="10">
        <f t="shared" ca="1" si="4"/>
        <v>0</v>
      </c>
      <c r="Q46" s="32"/>
      <c r="U46" s="31" t="str">
        <f ca="1">IF(B45=$D$3,XIRR($F$20:F45,$C$20:C45)," ")</f>
        <v xml:space="preserve"> </v>
      </c>
    </row>
    <row r="47" spans="2:21" x14ac:dyDescent="0.25">
      <c r="B47" s="10">
        <f t="shared" ca="1" si="1"/>
        <v>27</v>
      </c>
      <c r="C47" s="28">
        <f t="shared" ca="1" si="2"/>
        <v>46262</v>
      </c>
      <c r="D47" s="10">
        <f t="shared" ca="1" si="0"/>
        <v>31</v>
      </c>
      <c r="E47" s="17">
        <f t="shared" ca="1" si="9"/>
        <v>490343.76745962218</v>
      </c>
      <c r="F47" s="17">
        <f t="shared" ca="1" si="8"/>
        <v>15361.227958432815</v>
      </c>
      <c r="G47" s="17">
        <f ca="1">IF(C47=" "," ",IF(C47=$D$12,$D$4-SUM($G$21:G46),($D$13-H47)))</f>
        <v>762.58701048577132</v>
      </c>
      <c r="H47" s="17">
        <f t="shared" ca="1" si="5"/>
        <v>14598.640947947044</v>
      </c>
      <c r="I47" s="10">
        <f t="shared" ca="1" si="4"/>
        <v>0</v>
      </c>
      <c r="Q47" s="32"/>
      <c r="U47" s="31" t="str">
        <f ca="1">IF(B46=$D$3,XIRR($F$20:F46,$C$20:C46)," ")</f>
        <v xml:space="preserve"> </v>
      </c>
    </row>
    <row r="48" spans="2:21" x14ac:dyDescent="0.25">
      <c r="B48" s="10">
        <f t="shared" ca="1" si="1"/>
        <v>28</v>
      </c>
      <c r="C48" s="28">
        <f t="shared" ca="1" si="2"/>
        <v>46293</v>
      </c>
      <c r="D48" s="10">
        <f t="shared" ca="1" si="0"/>
        <v>31</v>
      </c>
      <c r="E48" s="17">
        <f t="shared" ca="1" si="9"/>
        <v>489558.51176676992</v>
      </c>
      <c r="F48" s="17">
        <f t="shared" ca="1" si="8"/>
        <v>15361.227958432815</v>
      </c>
      <c r="G48" s="17">
        <f ca="1">IF(C48=" "," ",IF(C48=$D$12,$D$4-SUM($G$21:G47),($D$13-H48)))</f>
        <v>785.25569285226629</v>
      </c>
      <c r="H48" s="17">
        <f t="shared" ca="1" si="5"/>
        <v>14575.972265580549</v>
      </c>
      <c r="I48" s="10">
        <f t="shared" ca="1" si="4"/>
        <v>0</v>
      </c>
      <c r="Q48" s="32"/>
      <c r="U48" s="31" t="str">
        <f ca="1">IF(B47=$D$3,XIRR($F$20:F47,$C$20:C47)," ")</f>
        <v xml:space="preserve"> </v>
      </c>
    </row>
    <row r="49" spans="2:21" x14ac:dyDescent="0.25">
      <c r="B49" s="10">
        <f t="shared" ca="1" si="1"/>
        <v>29</v>
      </c>
      <c r="C49" s="28">
        <f t="shared" ca="1" si="2"/>
        <v>46323</v>
      </c>
      <c r="D49" s="10">
        <f t="shared" ca="1" si="0"/>
        <v>30</v>
      </c>
      <c r="E49" s="17">
        <f t="shared" ca="1" si="9"/>
        <v>488280.4738728606</v>
      </c>
      <c r="F49" s="17">
        <f t="shared" ca="1" si="8"/>
        <v>15361.227958432815</v>
      </c>
      <c r="G49" s="17">
        <f ca="1">IF(C49=" "," ",IF(C49=$D$12,$D$4-SUM($G$21:G48),($D$13-H49)))</f>
        <v>1278.0378939092989</v>
      </c>
      <c r="H49" s="17">
        <f t="shared" ca="1" si="5"/>
        <v>14083.190064523516</v>
      </c>
      <c r="I49" s="10">
        <f t="shared" ca="1" si="4"/>
        <v>0</v>
      </c>
      <c r="Q49" s="32"/>
      <c r="U49" s="31" t="str">
        <f ca="1">IF(B48=$D$3,XIRR($F$20:F48,$C$20:C48)," ")</f>
        <v xml:space="preserve"> </v>
      </c>
    </row>
    <row r="50" spans="2:21" x14ac:dyDescent="0.25">
      <c r="B50" s="10">
        <f t="shared" ca="1" si="1"/>
        <v>30</v>
      </c>
      <c r="C50" s="28">
        <f t="shared" ca="1" si="2"/>
        <v>46354</v>
      </c>
      <c r="D50" s="10">
        <f t="shared" ca="1" si="0"/>
        <v>31</v>
      </c>
      <c r="E50" s="17">
        <f t="shared" ca="1" si="9"/>
        <v>487433.88465831964</v>
      </c>
      <c r="F50" s="17">
        <f t="shared" ca="1" si="8"/>
        <v>15361.227958432815</v>
      </c>
      <c r="G50" s="17">
        <f ca="1">IF(C50=" "," ",IF(C50=$D$12,$D$4-SUM($G$21:G49),($D$13-H50)))</f>
        <v>846.58921454093252</v>
      </c>
      <c r="H50" s="17">
        <f t="shared" ca="1" si="5"/>
        <v>14514.638743891883</v>
      </c>
      <c r="I50" s="10">
        <f t="shared" ca="1" si="4"/>
        <v>0</v>
      </c>
      <c r="Q50" s="32"/>
      <c r="U50" s="31" t="str">
        <f ca="1">IF(B49=$D$3,XIRR($F$20:F49,$C$20:C49)," ")</f>
        <v xml:space="preserve"> </v>
      </c>
    </row>
    <row r="51" spans="2:21" x14ac:dyDescent="0.25">
      <c r="B51" s="10">
        <f t="shared" ca="1" si="1"/>
        <v>31</v>
      </c>
      <c r="C51" s="28">
        <f t="shared" ca="1" si="2"/>
        <v>46384</v>
      </c>
      <c r="D51" s="10">
        <f t="shared" ca="1" si="0"/>
        <v>30</v>
      </c>
      <c r="E51" s="17">
        <f t="shared" ca="1" si="9"/>
        <v>486094.72735444125</v>
      </c>
      <c r="F51" s="17">
        <f t="shared" ca="1" si="8"/>
        <v>15361.227958432815</v>
      </c>
      <c r="G51" s="17">
        <f ca="1">IF(C51=" "," ",IF(C51=$D$12,$D$4-SUM($G$21:G50),($D$13-H51)))</f>
        <v>1339.1573038784154</v>
      </c>
      <c r="H51" s="17">
        <f t="shared" ca="1" si="5"/>
        <v>14022.0706545544</v>
      </c>
      <c r="I51" s="10">
        <f t="shared" ca="1" si="4"/>
        <v>0</v>
      </c>
      <c r="Q51" s="32"/>
      <c r="U51" s="31" t="str">
        <f ca="1">IF(B50=$D$3,XIRR($F$20:F50,$C$20:C50)," ")</f>
        <v xml:space="preserve"> </v>
      </c>
    </row>
    <row r="52" spans="2:21" x14ac:dyDescent="0.25">
      <c r="B52" s="10">
        <f t="shared" ca="1" si="1"/>
        <v>32</v>
      </c>
      <c r="C52" s="28">
        <f t="shared" ca="1" si="2"/>
        <v>46415</v>
      </c>
      <c r="D52" s="10">
        <f t="shared" ca="1" si="0"/>
        <v>31</v>
      </c>
      <c r="E52" s="17">
        <f t="shared" ca="1" si="9"/>
        <v>485183.16457901034</v>
      </c>
      <c r="F52" s="17">
        <f t="shared" ca="1" si="8"/>
        <v>15361.227958432815</v>
      </c>
      <c r="G52" s="17">
        <f ca="1">IF(C52=" "," ",IF(C52=$D$12,$D$4-SUM($G$21:G51),($D$13-H52)))</f>
        <v>911.56277543093165</v>
      </c>
      <c r="H52" s="17">
        <f t="shared" ca="1" si="5"/>
        <v>14449.665183001884</v>
      </c>
      <c r="I52" s="10">
        <f t="shared" ca="1" si="4"/>
        <v>0</v>
      </c>
      <c r="Q52" s="32"/>
      <c r="U52" s="31" t="str">
        <f ca="1">IF(B51=$D$3,XIRR($F$20:F51,$C$20:C51)," ")</f>
        <v xml:space="preserve"> </v>
      </c>
    </row>
    <row r="53" spans="2:21" x14ac:dyDescent="0.25">
      <c r="B53" s="10">
        <f t="shared" ca="1" si="1"/>
        <v>33</v>
      </c>
      <c r="C53" s="28">
        <f t="shared" ca="1" si="2"/>
        <v>46446</v>
      </c>
      <c r="D53" s="10">
        <f t="shared" ca="1" si="0"/>
        <v>31</v>
      </c>
      <c r="E53" s="17">
        <f t="shared" ca="1" si="9"/>
        <v>484244.50466354261</v>
      </c>
      <c r="F53" s="17">
        <f t="shared" ca="1" si="8"/>
        <v>15361.227958432815</v>
      </c>
      <c r="G53" s="17">
        <f ca="1">IF(C53=" "," ",IF(C53=$D$12,$D$4-SUM($G$21:G52),($D$13-H53)))</f>
        <v>938.65991546771511</v>
      </c>
      <c r="H53" s="17">
        <f t="shared" ca="1" si="5"/>
        <v>14422.5680429651</v>
      </c>
      <c r="I53" s="10">
        <f t="shared" ca="1" si="4"/>
        <v>0</v>
      </c>
      <c r="Q53" s="32"/>
      <c r="U53" s="31" t="str">
        <f ca="1">IF(B52=$D$3,XIRR($F$20:F52,$C$20:C52)," ")</f>
        <v xml:space="preserve"> </v>
      </c>
    </row>
    <row r="54" spans="2:21" x14ac:dyDescent="0.25">
      <c r="B54" s="10">
        <f t="shared" ca="1" si="1"/>
        <v>34</v>
      </c>
      <c r="C54" s="28">
        <f t="shared" ca="1" si="2"/>
        <v>46474</v>
      </c>
      <c r="D54" s="10">
        <f t="shared" ca="1" si="0"/>
        <v>28</v>
      </c>
      <c r="E54" s="17">
        <f t="shared" ca="1" si="9"/>
        <v>481884.90998100763</v>
      </c>
      <c r="F54" s="17">
        <f t="shared" ca="1" si="8"/>
        <v>15361.227958432815</v>
      </c>
      <c r="G54" s="17">
        <f ca="1">IF(C54=" "," ",IF(C54=$D$12,$D$4-SUM($G$21:G53),($D$13-H54)))</f>
        <v>2359.5946825349583</v>
      </c>
      <c r="H54" s="17">
        <f t="shared" ca="1" si="5"/>
        <v>13001.633275897857</v>
      </c>
      <c r="I54" s="10">
        <f t="shared" ca="1" si="4"/>
        <v>0</v>
      </c>
      <c r="Q54" s="32"/>
      <c r="U54" s="31" t="str">
        <f ca="1">IF(B53=$D$3,XIRR($F$20:F53,$C$20:C53)," ")</f>
        <v xml:space="preserve"> </v>
      </c>
    </row>
    <row r="55" spans="2:21" x14ac:dyDescent="0.25">
      <c r="B55" s="10">
        <f t="shared" ca="1" si="1"/>
        <v>35</v>
      </c>
      <c r="C55" s="28">
        <f t="shared" ca="1" si="2"/>
        <v>46505</v>
      </c>
      <c r="D55" s="10">
        <f t="shared" ca="1" si="0"/>
        <v>31</v>
      </c>
      <c r="E55" s="17">
        <f t="shared" ca="1" si="9"/>
        <v>480848.20605899655</v>
      </c>
      <c r="F55" s="17">
        <f t="shared" ca="1" si="8"/>
        <v>15361.227958432815</v>
      </c>
      <c r="G55" s="17">
        <f ca="1">IF(C55=" "," ",IF(C55=$D$12,$D$4-SUM($G$21:G54),($D$13-H55)))</f>
        <v>1036.7039220110819</v>
      </c>
      <c r="H55" s="17">
        <f t="shared" ca="1" si="5"/>
        <v>14324.524036421733</v>
      </c>
      <c r="I55" s="10">
        <f t="shared" ca="1" si="4"/>
        <v>0</v>
      </c>
      <c r="Q55" s="32"/>
      <c r="U55" s="31" t="str">
        <f ca="1">IF(B54=$D$3,XIRR($F$20:F54,$C$20:C54)," ")</f>
        <v xml:space="preserve"> </v>
      </c>
    </row>
    <row r="56" spans="2:21" x14ac:dyDescent="0.25">
      <c r="B56" s="10">
        <f t="shared" ca="1" si="1"/>
        <v>36</v>
      </c>
      <c r="C56" s="28">
        <f t="shared" ca="1" si="2"/>
        <v>46535</v>
      </c>
      <c r="D56" s="10">
        <f t="shared" ca="1" si="0"/>
        <v>30</v>
      </c>
      <c r="E56" s="17">
        <f t="shared" ca="1" si="9"/>
        <v>479319.59772691841</v>
      </c>
      <c r="F56" s="17">
        <f t="shared" ca="1" si="8"/>
        <v>15361.227958432815</v>
      </c>
      <c r="G56" s="17">
        <f ca="1">IF(C56=" "," ",IF(C56=$D$12,$D$4-SUM($G$21:G55),($D$13-H56)))</f>
        <v>1528.6083320781181</v>
      </c>
      <c r="H56" s="17">
        <f t="shared" ca="1" si="5"/>
        <v>13832.619626354697</v>
      </c>
      <c r="I56" s="10">
        <f t="shared" ca="1" si="4"/>
        <v>0</v>
      </c>
      <c r="Q56" s="32"/>
      <c r="U56" s="31" t="str">
        <f ca="1">IF(B55=$D$3,XIRR($F$20:F55,$C$20:C55)," ")</f>
        <v xml:space="preserve"> </v>
      </c>
    </row>
    <row r="57" spans="2:21" x14ac:dyDescent="0.25">
      <c r="B57" s="10">
        <f ca="1">IF(C57 =" "," ",B56+1)</f>
        <v>37</v>
      </c>
      <c r="C57" s="28">
        <f t="shared" ca="1" si="2"/>
        <v>46566</v>
      </c>
      <c r="D57" s="10">
        <f ca="1">IF(C57=" "," ",(C57-C56))</f>
        <v>31</v>
      </c>
      <c r="E57" s="17">
        <f t="shared" ca="1" si="9"/>
        <v>478206.63726255973</v>
      </c>
      <c r="F57" s="17">
        <f t="shared" ca="1" si="8"/>
        <v>17861.227958432813</v>
      </c>
      <c r="G57" s="17">
        <f ca="1">IF(C57=" "," ",IF(C57=$D$12,$D$4-SUM($G$21:G56),($D$13-H57)))</f>
        <v>1112.9604643586681</v>
      </c>
      <c r="H57" s="17">
        <f t="shared" ca="1" si="5"/>
        <v>14248.267494074147</v>
      </c>
      <c r="I57" s="10">
        <f t="shared" ca="1" si="4"/>
        <v>0</v>
      </c>
      <c r="Q57" s="32">
        <f ca="1">IF(B57=" "," ",$D$10*$D$9+$D$11*E57)</f>
        <v>2500</v>
      </c>
      <c r="U57" s="31" t="str">
        <f ca="1">IF(B56=$D$3,XIRR($F$20:F56,$C$20:C56)," ")</f>
        <v xml:space="preserve"> </v>
      </c>
    </row>
    <row r="58" spans="2:21" x14ac:dyDescent="0.25">
      <c r="B58" s="10">
        <f t="shared" ref="B58:B121" ca="1" si="10">IF(C58 =" "," ",B57+1)</f>
        <v>38</v>
      </c>
      <c r="C58" s="28">
        <f t="shared" ca="1" si="2"/>
        <v>46596</v>
      </c>
      <c r="D58" s="10">
        <f t="shared" ref="D58:D121" ca="1" si="11">IF(C58=" "," ",(C58-C57))</f>
        <v>30</v>
      </c>
      <c r="E58" s="17">
        <f t="shared" ca="1" si="9"/>
        <v>476602.03859524167</v>
      </c>
      <c r="F58" s="17">
        <f t="shared" ca="1" si="8"/>
        <v>15361.227958432815</v>
      </c>
      <c r="G58" s="17">
        <f ca="1">IF(C58=" "," ",IF(C58=$D$12,$D$4-SUM($G$21:G57),($D$13-H58)))</f>
        <v>1604.5986673180832</v>
      </c>
      <c r="H58" s="17">
        <f t="shared" ca="1" si="5"/>
        <v>13756.629291114732</v>
      </c>
      <c r="I58" s="10">
        <f t="shared" ca="1" si="4"/>
        <v>0</v>
      </c>
      <c r="Q58" s="32"/>
      <c r="U58" s="31" t="str">
        <f ca="1">IF(B57=$D$3,XIRR($F$20:F57,$C$20:C57)," ")</f>
        <v xml:space="preserve"> </v>
      </c>
    </row>
    <row r="59" spans="2:21" x14ac:dyDescent="0.25">
      <c r="B59" s="10">
        <f t="shared" ca="1" si="10"/>
        <v>39</v>
      </c>
      <c r="C59" s="28">
        <f t="shared" ca="1" si="2"/>
        <v>46627</v>
      </c>
      <c r="D59" s="10">
        <f t="shared" ca="1" si="11"/>
        <v>31</v>
      </c>
      <c r="E59" s="17">
        <f t="shared" ca="1" si="9"/>
        <v>475408.29589368112</v>
      </c>
      <c r="F59" s="17">
        <f t="shared" ca="1" si="8"/>
        <v>15361.227958432815</v>
      </c>
      <c r="G59" s="17">
        <f ca="1">IF(C59=" "," ",IF(C59=$D$12,$D$4-SUM($G$21:G58),($D$13-H59)))</f>
        <v>1193.7427015605663</v>
      </c>
      <c r="H59" s="17">
        <f t="shared" ca="1" si="5"/>
        <v>14167.485256872249</v>
      </c>
      <c r="I59" s="10">
        <f t="shared" ca="1" si="4"/>
        <v>0</v>
      </c>
      <c r="Q59" s="32"/>
      <c r="U59" s="31" t="str">
        <f ca="1">IF(B58=$D$3,XIRR($F$20:F58,$C$20:C58)," ")</f>
        <v xml:space="preserve"> </v>
      </c>
    </row>
    <row r="60" spans="2:21" x14ac:dyDescent="0.25">
      <c r="B60" s="10">
        <f t="shared" ca="1" si="10"/>
        <v>40</v>
      </c>
      <c r="C60" s="28">
        <f t="shared" ca="1" si="2"/>
        <v>46658</v>
      </c>
      <c r="D60" s="10">
        <f t="shared" ca="1" si="11"/>
        <v>31</v>
      </c>
      <c r="E60" s="17">
        <f t="shared" ca="1" si="9"/>
        <v>474179.06796386867</v>
      </c>
      <c r="F60" s="17">
        <f t="shared" ca="1" si="8"/>
        <v>15361.227958432815</v>
      </c>
      <c r="G60" s="17">
        <f ca="1">IF(C60=" "," ",IF(C60=$D$12,$D$4-SUM($G$21:G59),($D$13-H60)))</f>
        <v>1229.2279298124304</v>
      </c>
      <c r="H60" s="17">
        <f t="shared" ca="1" si="5"/>
        <v>14132.000028620385</v>
      </c>
      <c r="I60" s="10">
        <f t="shared" ca="1" si="4"/>
        <v>0</v>
      </c>
      <c r="Q60" s="32"/>
      <c r="U60" s="31" t="str">
        <f ca="1">IF(B59=$D$3,XIRR($F$20:F59,$C$20:C59)," ")</f>
        <v xml:space="preserve"> </v>
      </c>
    </row>
    <row r="61" spans="2:21" x14ac:dyDescent="0.25">
      <c r="B61" s="10">
        <f t="shared" ca="1" si="10"/>
        <v>41</v>
      </c>
      <c r="C61" s="28">
        <f t="shared" ca="1" si="2"/>
        <v>46688</v>
      </c>
      <c r="D61" s="10">
        <f t="shared" ca="1" si="11"/>
        <v>30</v>
      </c>
      <c r="E61" s="17">
        <f t="shared" ca="1" si="9"/>
        <v>472458.60771398549</v>
      </c>
      <c r="F61" s="17">
        <f t="shared" ca="1" si="8"/>
        <v>15361.227958432815</v>
      </c>
      <c r="G61" s="17">
        <f ca="1">IF(C61=" "," ",IF(C61=$D$12,$D$4-SUM($G$21:G60),($D$13-H61)))</f>
        <v>1720.46024988317</v>
      </c>
      <c r="H61" s="17">
        <f t="shared" ca="1" si="5"/>
        <v>13640.767708549645</v>
      </c>
      <c r="I61" s="10">
        <f t="shared" ca="1" si="4"/>
        <v>0</v>
      </c>
      <c r="Q61" s="32"/>
      <c r="U61" s="31" t="str">
        <f ca="1">IF(B60=$D$3,XIRR($F$20:F60,$C$20:C60)," ")</f>
        <v xml:space="preserve"> </v>
      </c>
    </row>
    <row r="62" spans="2:21" x14ac:dyDescent="0.25">
      <c r="B62" s="10">
        <f t="shared" ca="1" si="10"/>
        <v>42</v>
      </c>
      <c r="C62" s="28">
        <f t="shared" ca="1" si="2"/>
        <v>46719</v>
      </c>
      <c r="D62" s="10">
        <f t="shared" ca="1" si="11"/>
        <v>31</v>
      </c>
      <c r="E62" s="17">
        <f t="shared" ca="1" si="9"/>
        <v>471141.69727253006</v>
      </c>
      <c r="F62" s="17">
        <f t="shared" ca="1" si="8"/>
        <v>15361.227958432815</v>
      </c>
      <c r="G62" s="17">
        <f ca="1">IF(C62=" "," ",IF(C62=$D$12,$D$4-SUM($G$21:G61),($D$13-H62)))</f>
        <v>1316.9104414554404</v>
      </c>
      <c r="H62" s="17">
        <f t="shared" ca="1" si="5"/>
        <v>14044.317516977375</v>
      </c>
      <c r="I62" s="10">
        <f t="shared" ca="1" si="4"/>
        <v>0</v>
      </c>
      <c r="Q62" s="32"/>
      <c r="U62" s="31" t="str">
        <f ca="1">IF(B61=$D$3,XIRR($F$20:F61,$C$20:C61)," ")</f>
        <v xml:space="preserve"> </v>
      </c>
    </row>
    <row r="63" spans="2:21" x14ac:dyDescent="0.25">
      <c r="B63" s="10">
        <f t="shared" ca="1" si="10"/>
        <v>43</v>
      </c>
      <c r="C63" s="28">
        <f t="shared" ca="1" si="2"/>
        <v>46749</v>
      </c>
      <c r="D63" s="10">
        <f t="shared" ca="1" si="11"/>
        <v>30</v>
      </c>
      <c r="E63" s="17">
        <f t="shared" ca="1" si="9"/>
        <v>469333.86060549878</v>
      </c>
      <c r="F63" s="17">
        <f t="shared" ca="1" si="8"/>
        <v>15361.227958432815</v>
      </c>
      <c r="G63" s="17">
        <f ca="1">IF(C63=" "," ",IF(C63=$D$12,$D$4-SUM($G$21:G62),($D$13-H63)))</f>
        <v>1807.836667031268</v>
      </c>
      <c r="H63" s="17">
        <f t="shared" ca="1" si="5"/>
        <v>13553.391291401547</v>
      </c>
      <c r="I63" s="10">
        <f t="shared" ca="1" si="4"/>
        <v>0</v>
      </c>
      <c r="Q63" s="32"/>
      <c r="U63" s="31" t="str">
        <f ca="1">IF(B62=$D$3,XIRR($F$20:F62,$C$20:C62)," ")</f>
        <v xml:space="preserve"> </v>
      </c>
    </row>
    <row r="64" spans="2:21" x14ac:dyDescent="0.25">
      <c r="B64" s="10">
        <f t="shared" ca="1" si="10"/>
        <v>44</v>
      </c>
      <c r="C64" s="28">
        <f t="shared" ca="1" si="2"/>
        <v>46780</v>
      </c>
      <c r="D64" s="10">
        <f t="shared" ca="1" si="11"/>
        <v>31</v>
      </c>
      <c r="E64" s="17">
        <f t="shared" ca="1" si="9"/>
        <v>467924.06384588697</v>
      </c>
      <c r="F64" s="17">
        <f t="shared" ca="1" si="8"/>
        <v>15361.227958432815</v>
      </c>
      <c r="G64" s="17">
        <f ca="1">IF(C64=" "," ",IF(C64=$D$12,$D$4-SUM($G$21:G63),($D$13-H64)))</f>
        <v>1409.7967596118233</v>
      </c>
      <c r="H64" s="17">
        <f t="shared" ca="1" si="5"/>
        <v>13951.431198820992</v>
      </c>
      <c r="I64" s="10">
        <f t="shared" ca="1" si="4"/>
        <v>0</v>
      </c>
      <c r="Q64" s="32"/>
      <c r="U64" s="31" t="str">
        <f ca="1">IF(B63=$D$3,XIRR($F$20:F63,$C$20:C63)," ")</f>
        <v xml:space="preserve"> </v>
      </c>
    </row>
    <row r="65" spans="2:21" x14ac:dyDescent="0.25">
      <c r="B65" s="10">
        <f t="shared" ca="1" si="10"/>
        <v>45</v>
      </c>
      <c r="C65" s="28">
        <f t="shared" ca="1" si="2"/>
        <v>46811</v>
      </c>
      <c r="D65" s="10">
        <f t="shared" ca="1" si="11"/>
        <v>31</v>
      </c>
      <c r="E65" s="17">
        <f t="shared" ca="1" si="9"/>
        <v>466472.35942917434</v>
      </c>
      <c r="F65" s="17">
        <f t="shared" ca="1" si="8"/>
        <v>15361.227958432815</v>
      </c>
      <c r="G65" s="17">
        <f ca="1">IF(C65=" "," ",IF(C65=$D$12,$D$4-SUM($G$21:G64),($D$13-H65)))</f>
        <v>1451.7044167126132</v>
      </c>
      <c r="H65" s="17">
        <f t="shared" ca="1" si="5"/>
        <v>13909.523541720202</v>
      </c>
      <c r="I65" s="10">
        <f t="shared" ca="1" si="4"/>
        <v>0</v>
      </c>
      <c r="Q65" s="32"/>
      <c r="U65" s="31" t="str">
        <f ca="1">IF(B64=$D$3,XIRR($F$20:F64,$C$20:C64)," ")</f>
        <v xml:space="preserve"> </v>
      </c>
    </row>
    <row r="66" spans="2:21" x14ac:dyDescent="0.25">
      <c r="B66" s="10">
        <f t="shared" ca="1" si="10"/>
        <v>46</v>
      </c>
      <c r="C66" s="28">
        <f t="shared" ca="1" si="2"/>
        <v>46840</v>
      </c>
      <c r="D66" s="10">
        <f t="shared" ca="1" si="11"/>
        <v>29</v>
      </c>
      <c r="E66" s="17">
        <f t="shared" ca="1" si="9"/>
        <v>464082.89708226512</v>
      </c>
      <c r="F66" s="17">
        <f t="shared" ca="1" si="8"/>
        <v>15361.227958432815</v>
      </c>
      <c r="G66" s="17">
        <f ca="1">IF(C66=" "," ",IF(C66=$D$12,$D$4-SUM($G$21:G65),($D$13-H66)))</f>
        <v>2389.4623469092003</v>
      </c>
      <c r="H66" s="17">
        <f t="shared" ca="1" si="5"/>
        <v>12971.765611523615</v>
      </c>
      <c r="I66" s="10">
        <f t="shared" ca="1" si="4"/>
        <v>0</v>
      </c>
      <c r="Q66" s="32"/>
      <c r="U66" s="31" t="str">
        <f ca="1">IF(B65=$D$3,XIRR($F$20:F65,$C$20:C65)," ")</f>
        <v xml:space="preserve"> </v>
      </c>
    </row>
    <row r="67" spans="2:21" x14ac:dyDescent="0.25">
      <c r="B67" s="10">
        <f t="shared" ca="1" si="10"/>
        <v>47</v>
      </c>
      <c r="C67" s="28">
        <f t="shared" ca="1" si="2"/>
        <v>46871</v>
      </c>
      <c r="D67" s="10">
        <f t="shared" ca="1" si="11"/>
        <v>31</v>
      </c>
      <c r="E67" s="17">
        <f t="shared" ca="1" si="9"/>
        <v>462517.01003709965</v>
      </c>
      <c r="F67" s="17">
        <f t="shared" ca="1" si="8"/>
        <v>15361.227958432815</v>
      </c>
      <c r="G67" s="17">
        <f ca="1">IF(C67=" "," ",IF(C67=$D$12,$D$4-SUM($G$21:G66),($D$13-H67)))</f>
        <v>1565.887045165482</v>
      </c>
      <c r="H67" s="17">
        <f t="shared" ca="1" si="5"/>
        <v>13795.340913267333</v>
      </c>
      <c r="I67" s="10">
        <f t="shared" ca="1" si="4"/>
        <v>0</v>
      </c>
      <c r="Q67" s="32"/>
      <c r="U67" s="31" t="str">
        <f ca="1">IF(B66=$D$3,XIRR($F$20:F66,$C$20:C66)," ")</f>
        <v xml:space="preserve"> </v>
      </c>
    </row>
    <row r="68" spans="2:21" x14ac:dyDescent="0.25">
      <c r="B68" s="10">
        <f t="shared" ca="1" si="10"/>
        <v>48</v>
      </c>
      <c r="C68" s="28">
        <f t="shared" ca="1" si="2"/>
        <v>46901</v>
      </c>
      <c r="D68" s="10">
        <f t="shared" ca="1" si="11"/>
        <v>30</v>
      </c>
      <c r="E68" s="17">
        <f t="shared" ca="1" si="9"/>
        <v>460461.06592904916</v>
      </c>
      <c r="F68" s="17">
        <f t="shared" ca="1" si="8"/>
        <v>15361.227958432815</v>
      </c>
      <c r="G68" s="17">
        <f ca="1">IF(C68=" "," ",IF(C68=$D$12,$D$4-SUM($G$21:G67),($D$13-H68)))</f>
        <v>2055.9441080504967</v>
      </c>
      <c r="H68" s="17">
        <f t="shared" ca="1" si="5"/>
        <v>13305.283850382319</v>
      </c>
      <c r="I68" s="10">
        <f t="shared" ca="1" si="4"/>
        <v>0</v>
      </c>
      <c r="Q68" s="32"/>
      <c r="U68" s="31" t="str">
        <f ca="1">IF(B67=$D$3,XIRR($F$20:F67,$C$20:C67)," ")</f>
        <v xml:space="preserve"> </v>
      </c>
    </row>
    <row r="69" spans="2:21" x14ac:dyDescent="0.25">
      <c r="B69" s="10">
        <f t="shared" ca="1" si="10"/>
        <v>49</v>
      </c>
      <c r="C69" s="28">
        <f t="shared" ca="1" si="2"/>
        <v>46932</v>
      </c>
      <c r="D69" s="10">
        <f t="shared" ca="1" si="11"/>
        <v>31</v>
      </c>
      <c r="E69" s="17">
        <f t="shared" ca="1" si="9"/>
        <v>458787.51623179496</v>
      </c>
      <c r="F69" s="17">
        <f t="shared" ca="1" si="8"/>
        <v>17861.227958432813</v>
      </c>
      <c r="G69" s="17">
        <f ca="1">IF(C69=" "," ",IF(C69=$D$12,$D$4-SUM($G$21:G68),($D$13-H69)))</f>
        <v>1673.5496972542314</v>
      </c>
      <c r="H69" s="17">
        <f t="shared" ca="1" si="5"/>
        <v>13687.678261178584</v>
      </c>
      <c r="I69" s="10">
        <f t="shared" ca="1" si="4"/>
        <v>0</v>
      </c>
      <c r="Q69" s="32">
        <f ca="1">IF(B69=" "," ",$D$10*$D$9+$D$11*E69)</f>
        <v>2500</v>
      </c>
      <c r="U69" s="31" t="str">
        <f ca="1">IF(B68=$D$3,XIRR($F$20:F68,$C$20:C68)," ")</f>
        <v xml:space="preserve"> </v>
      </c>
    </row>
    <row r="70" spans="2:21" x14ac:dyDescent="0.25">
      <c r="B70" s="10">
        <f t="shared" ca="1" si="10"/>
        <v>50</v>
      </c>
      <c r="C70" s="28">
        <f t="shared" ca="1" si="2"/>
        <v>46962</v>
      </c>
      <c r="D70" s="10">
        <f t="shared" ca="1" si="11"/>
        <v>30</v>
      </c>
      <c r="E70" s="17">
        <f t="shared" ca="1" si="9"/>
        <v>456624.28531564667</v>
      </c>
      <c r="F70" s="17">
        <f t="shared" ca="1" si="8"/>
        <v>15361.227958432815</v>
      </c>
      <c r="G70" s="17">
        <f ca="1">IF(C70=" "," ",IF(C70=$D$12,$D$4-SUM($G$21:G69),($D$13-H70)))</f>
        <v>2163.2309161483045</v>
      </c>
      <c r="H70" s="17">
        <f t="shared" ca="1" si="5"/>
        <v>13197.997042284511</v>
      </c>
      <c r="I70" s="10">
        <f t="shared" ca="1" si="4"/>
        <v>0</v>
      </c>
      <c r="Q70" s="32"/>
      <c r="U70" s="31" t="str">
        <f ca="1">IF(B69=$D$3,XIRR($F$20:F69,$C$20:C69)," ")</f>
        <v xml:space="preserve"> </v>
      </c>
    </row>
    <row r="71" spans="2:21" x14ac:dyDescent="0.25">
      <c r="B71" s="10">
        <f t="shared" ca="1" si="10"/>
        <v>51</v>
      </c>
      <c r="C71" s="28">
        <f t="shared" ca="1" si="2"/>
        <v>46993</v>
      </c>
      <c r="D71" s="10">
        <f t="shared" ca="1" si="11"/>
        <v>31</v>
      </c>
      <c r="E71" s="17">
        <f t="shared" ca="1" si="9"/>
        <v>454836.68337276118</v>
      </c>
      <c r="F71" s="17">
        <f t="shared" ca="1" si="8"/>
        <v>15361.227958432815</v>
      </c>
      <c r="G71" s="17">
        <f ca="1">IF(C71=" "," ",IF(C71=$D$12,$D$4-SUM($G$21:G70),($D$13-H71)))</f>
        <v>1787.6019428855125</v>
      </c>
      <c r="H71" s="17">
        <f t="shared" ca="1" si="5"/>
        <v>13573.626015547303</v>
      </c>
      <c r="I71" s="10">
        <f t="shared" ca="1" si="4"/>
        <v>0</v>
      </c>
      <c r="Q71" s="32"/>
      <c r="U71" s="31" t="str">
        <f ca="1">IF(B70=$D$3,XIRR($F$20:F70,$C$20:C70)," ")</f>
        <v xml:space="preserve"> </v>
      </c>
    </row>
    <row r="72" spans="2:21" x14ac:dyDescent="0.25">
      <c r="B72" s="10">
        <f t="shared" ca="1" si="10"/>
        <v>52</v>
      </c>
      <c r="C72" s="28">
        <f t="shared" ca="1" si="2"/>
        <v>47024</v>
      </c>
      <c r="D72" s="10">
        <f t="shared" ca="1" si="11"/>
        <v>31</v>
      </c>
      <c r="E72" s="17">
        <f t="shared" ca="1" si="9"/>
        <v>452995.94312554604</v>
      </c>
      <c r="F72" s="17">
        <f t="shared" ca="1" si="8"/>
        <v>15361.227958432815</v>
      </c>
      <c r="G72" s="17">
        <f ca="1">IF(C72=" "," ",IF(C72=$D$12,$D$4-SUM($G$21:G71),($D$13-H72)))</f>
        <v>1840.7402472151225</v>
      </c>
      <c r="H72" s="17">
        <f t="shared" ca="1" si="5"/>
        <v>13520.487711217693</v>
      </c>
      <c r="I72" s="10">
        <f t="shared" ca="1" si="4"/>
        <v>0</v>
      </c>
      <c r="Q72" s="32"/>
      <c r="U72" s="31" t="str">
        <f ca="1">IF(B71=$D$3,XIRR($F$20:F71,$C$20:C71)," ")</f>
        <v xml:space="preserve"> </v>
      </c>
    </row>
    <row r="73" spans="2:21" x14ac:dyDescent="0.25">
      <c r="B73" s="10">
        <f t="shared" ca="1" si="10"/>
        <v>53</v>
      </c>
      <c r="C73" s="28">
        <f t="shared" ca="1" si="2"/>
        <v>47054</v>
      </c>
      <c r="D73" s="10">
        <f t="shared" ca="1" si="11"/>
        <v>30</v>
      </c>
      <c r="E73" s="17">
        <f t="shared" ca="1" si="9"/>
        <v>450666.10531182069</v>
      </c>
      <c r="F73" s="17">
        <f t="shared" ca="1" si="8"/>
        <v>15361.227958432815</v>
      </c>
      <c r="G73" s="17">
        <f ca="1">IF(C73=" "," ",IF(C73=$D$12,$D$4-SUM($G$21:G72),($D$13-H73)))</f>
        <v>2329.8378137253276</v>
      </c>
      <c r="H73" s="17">
        <f t="shared" ca="1" si="5"/>
        <v>13031.390144707488</v>
      </c>
      <c r="I73" s="10">
        <f t="shared" ca="1" si="4"/>
        <v>0</v>
      </c>
      <c r="Q73" s="32"/>
      <c r="U73" s="31" t="str">
        <f ca="1">IF(B72=$D$3,XIRR($F$20:F72,$C$20:C72)," ")</f>
        <v xml:space="preserve"> </v>
      </c>
    </row>
    <row r="74" spans="2:21" x14ac:dyDescent="0.25">
      <c r="B74" s="10">
        <f t="shared" ca="1" si="10"/>
        <v>54</v>
      </c>
      <c r="C74" s="28">
        <f t="shared" ca="1" si="2"/>
        <v>47085</v>
      </c>
      <c r="D74" s="10">
        <f t="shared" ca="1" si="11"/>
        <v>31</v>
      </c>
      <c r="E74" s="17">
        <f t="shared" ca="1" si="9"/>
        <v>448701.39034690364</v>
      </c>
      <c r="F74" s="17">
        <f t="shared" ca="1" si="8"/>
        <v>15361.227958432815</v>
      </c>
      <c r="G74" s="17">
        <f ca="1">IF(C74=" "," ",IF(C74=$D$12,$D$4-SUM($G$21:G73),($D$13-H74)))</f>
        <v>1964.7149649170497</v>
      </c>
      <c r="H74" s="17">
        <f t="shared" ca="1" si="5"/>
        <v>13396.512993515766</v>
      </c>
      <c r="I74" s="10">
        <f t="shared" ca="1" si="4"/>
        <v>0</v>
      </c>
      <c r="Q74" s="32"/>
      <c r="U74" s="31" t="str">
        <f ca="1">IF(B73=$D$3,XIRR($F$20:F73,$C$20:C73)," ")</f>
        <v xml:space="preserve"> </v>
      </c>
    </row>
    <row r="75" spans="2:21" x14ac:dyDescent="0.25">
      <c r="B75" s="10">
        <f t="shared" ca="1" si="10"/>
        <v>55</v>
      </c>
      <c r="C75" s="28">
        <f t="shared" ca="1" si="2"/>
        <v>47115</v>
      </c>
      <c r="D75" s="10">
        <f t="shared" ca="1" si="11"/>
        <v>30</v>
      </c>
      <c r="E75" s="17">
        <f t="shared" ca="1" si="9"/>
        <v>446248.0106039297</v>
      </c>
      <c r="F75" s="17">
        <f t="shared" ca="1" si="8"/>
        <v>15361.227958432815</v>
      </c>
      <c r="G75" s="17">
        <f ca="1">IF(C75=" "," ",IF(C75=$D$12,$D$4-SUM($G$21:G74),($D$13-H75)))</f>
        <v>2453.3797429739443</v>
      </c>
      <c r="H75" s="17">
        <f t="shared" ca="1" si="5"/>
        <v>12907.848215458871</v>
      </c>
      <c r="I75" s="10">
        <f t="shared" ca="1" si="4"/>
        <v>0</v>
      </c>
      <c r="Q75" s="32"/>
      <c r="U75" s="31" t="str">
        <f ca="1">IF(B74=$D$3,XIRR($F$20:F74,$C$20:C74)," ")</f>
        <v xml:space="preserve"> </v>
      </c>
    </row>
    <row r="76" spans="2:21" x14ac:dyDescent="0.25">
      <c r="B76" s="10">
        <f t="shared" ca="1" si="10"/>
        <v>56</v>
      </c>
      <c r="C76" s="28">
        <f t="shared" ca="1" si="2"/>
        <v>47146</v>
      </c>
      <c r="D76" s="10">
        <f t="shared" ca="1" si="11"/>
        <v>31</v>
      </c>
      <c r="E76" s="17">
        <f t="shared" ca="1" si="9"/>
        <v>444151.96323468216</v>
      </c>
      <c r="F76" s="17">
        <f t="shared" ca="1" si="8"/>
        <v>15361.227958432815</v>
      </c>
      <c r="G76" s="17">
        <f ca="1">IF(C76=" "," ",IF(C76=$D$12,$D$4-SUM($G$21:G75),($D$13-H76)))</f>
        <v>2096.047369247508</v>
      </c>
      <c r="H76" s="17">
        <f t="shared" ca="1" si="5"/>
        <v>13265.180589185307</v>
      </c>
      <c r="I76" s="10">
        <f t="shared" ca="1" si="4"/>
        <v>0</v>
      </c>
      <c r="Q76" s="32"/>
      <c r="U76" s="31" t="str">
        <f ca="1">IF(B75=$D$3,XIRR($F$20:F75,$C$20:C75)," ")</f>
        <v xml:space="preserve"> </v>
      </c>
    </row>
    <row r="77" spans="2:21" x14ac:dyDescent="0.25">
      <c r="B77" s="10">
        <f t="shared" ca="1" si="10"/>
        <v>57</v>
      </c>
      <c r="C77" s="28">
        <f t="shared" ca="1" si="2"/>
        <v>47177</v>
      </c>
      <c r="D77" s="10">
        <f t="shared" ca="1" si="11"/>
        <v>31</v>
      </c>
      <c r="E77" s="17">
        <f t="shared" ca="1" si="9"/>
        <v>441993.60870391043</v>
      </c>
      <c r="F77" s="17">
        <f t="shared" ca="1" si="8"/>
        <v>15361.227958432815</v>
      </c>
      <c r="G77" s="17">
        <f ca="1">IF(C77=" "," ",IF(C77=$D$12,$D$4-SUM($G$21:G76),($D$13-H77)))</f>
        <v>2158.3545307717159</v>
      </c>
      <c r="H77" s="17">
        <f t="shared" ca="1" si="5"/>
        <v>13202.873427661099</v>
      </c>
      <c r="I77" s="10">
        <f t="shared" ca="1" si="4"/>
        <v>0</v>
      </c>
      <c r="Q77" s="32"/>
      <c r="U77" s="31" t="str">
        <f ca="1">IF(B76=$D$3,XIRR($F$20:F76,$C$20:C76)," ")</f>
        <v xml:space="preserve"> </v>
      </c>
    </row>
    <row r="78" spans="2:21" x14ac:dyDescent="0.25">
      <c r="B78" s="10">
        <f t="shared" ca="1" si="10"/>
        <v>58</v>
      </c>
      <c r="C78" s="28">
        <f t="shared" ca="1" si="2"/>
        <v>47205</v>
      </c>
      <c r="D78" s="10">
        <f t="shared" ca="1" si="11"/>
        <v>28</v>
      </c>
      <c r="E78" s="17">
        <f t="shared" ca="1" si="9"/>
        <v>438499.60640382918</v>
      </c>
      <c r="F78" s="17">
        <f t="shared" ca="1" si="8"/>
        <v>15361.227958432815</v>
      </c>
      <c r="G78" s="17">
        <f ca="1">IF(C78=" "," ",IF(C78=$D$12,$D$4-SUM($G$21:G77),($D$13-H78)))</f>
        <v>3494.0023000812489</v>
      </c>
      <c r="H78" s="17">
        <f t="shared" ca="1" si="5"/>
        <v>11867.225658351566</v>
      </c>
      <c r="I78" s="10">
        <f t="shared" ca="1" si="4"/>
        <v>0</v>
      </c>
      <c r="Q78" s="32"/>
      <c r="U78" s="31" t="str">
        <f ca="1">IF(B77=$D$3,XIRR($F$20:F77,$C$20:C77)," ")</f>
        <v xml:space="preserve"> </v>
      </c>
    </row>
    <row r="79" spans="2:21" x14ac:dyDescent="0.25">
      <c r="B79" s="10">
        <f t="shared" ca="1" si="10"/>
        <v>59</v>
      </c>
      <c r="C79" s="28">
        <f t="shared" ca="1" si="2"/>
        <v>47236</v>
      </c>
      <c r="D79" s="10">
        <f t="shared" ca="1" si="11"/>
        <v>31</v>
      </c>
      <c r="E79" s="17">
        <f t="shared" ca="1" si="9"/>
        <v>436173.22975904442</v>
      </c>
      <c r="F79" s="17">
        <f t="shared" ca="1" si="8"/>
        <v>15361.227958432815</v>
      </c>
      <c r="G79" s="17">
        <f ca="1">IF(C79=" "," ",IF(C79=$D$12,$D$4-SUM($G$21:G78),($D$13-H79)))</f>
        <v>2326.3766447847429</v>
      </c>
      <c r="H79" s="17">
        <f t="shared" ca="1" si="5"/>
        <v>13034.851313648072</v>
      </c>
      <c r="I79" s="10">
        <f t="shared" ca="1" si="4"/>
        <v>0</v>
      </c>
      <c r="Q79" s="32"/>
      <c r="U79" s="31" t="str">
        <f ca="1">IF(B78=$D$3,XIRR($F$20:F78,$C$20:C78)," ")</f>
        <v xml:space="preserve"> </v>
      </c>
    </row>
    <row r="80" spans="2:21" x14ac:dyDescent="0.25">
      <c r="B80" s="10">
        <f t="shared" ca="1" si="10"/>
        <v>60</v>
      </c>
      <c r="C80" s="28">
        <f t="shared" ca="1" si="2"/>
        <v>47266</v>
      </c>
      <c r="D80" s="10">
        <f t="shared" ca="1" si="11"/>
        <v>30</v>
      </c>
      <c r="E80" s="17">
        <f t="shared" ca="1" si="9"/>
        <v>433359.45087587181</v>
      </c>
      <c r="F80" s="17">
        <f t="shared" ca="1" si="8"/>
        <v>15361.227958432815</v>
      </c>
      <c r="G80" s="17">
        <f ca="1">IF(C80=" "," ",IF(C80=$D$12,$D$4-SUM($G$21:G79),($D$13-H80)))</f>
        <v>2813.7788831726339</v>
      </c>
      <c r="H80" s="17">
        <f t="shared" ca="1" si="5"/>
        <v>12547.449075260181</v>
      </c>
      <c r="I80" s="10">
        <f t="shared" ca="1" si="4"/>
        <v>0</v>
      </c>
      <c r="Q80" s="32"/>
      <c r="U80" s="31" t="str">
        <f ca="1">IF(B79=$D$3,XIRR($F$20:F79,$C$20:C79)," ")</f>
        <v xml:space="preserve"> </v>
      </c>
    </row>
    <row r="81" spans="2:21" x14ac:dyDescent="0.25">
      <c r="B81" s="10">
        <f t="shared" ca="1" si="10"/>
        <v>61</v>
      </c>
      <c r="C81" s="28">
        <f t="shared" ca="1" si="2"/>
        <v>47297</v>
      </c>
      <c r="D81" s="10">
        <f t="shared" ca="1" si="11"/>
        <v>31</v>
      </c>
      <c r="E81" s="17">
        <f t="shared" ca="1" si="9"/>
        <v>430880.27782703686</v>
      </c>
      <c r="F81" s="17">
        <f t="shared" ca="1" si="8"/>
        <v>17861.227958432813</v>
      </c>
      <c r="G81" s="17">
        <f ca="1">IF(C81=" "," ",IF(C81=$D$12,$D$4-SUM($G$21:G80),($D$13-H81)))</f>
        <v>2479.1730488349822</v>
      </c>
      <c r="H81" s="17">
        <f t="shared" ca="1" si="5"/>
        <v>12882.054909597833</v>
      </c>
      <c r="I81" s="10">
        <f t="shared" ca="1" si="4"/>
        <v>0</v>
      </c>
      <c r="Q81" s="32">
        <f ca="1">IF(B81=" "," ",$D$10*$D$9+$D$11*E81)</f>
        <v>2500</v>
      </c>
      <c r="U81" s="31" t="str">
        <f ca="1">IF(B80=$D$3,XIRR($F$20:F80,$C$20:C80)," ")</f>
        <v xml:space="preserve"> </v>
      </c>
    </row>
    <row r="82" spans="2:21" x14ac:dyDescent="0.25">
      <c r="B82" s="10">
        <f t="shared" ca="1" si="10"/>
        <v>62</v>
      </c>
      <c r="C82" s="28">
        <f t="shared" ca="1" si="2"/>
        <v>47327</v>
      </c>
      <c r="D82" s="10">
        <f t="shared" ca="1" si="11"/>
        <v>30</v>
      </c>
      <c r="E82" s="17">
        <f t="shared" ca="1" si="9"/>
        <v>427914.23594308045</v>
      </c>
      <c r="F82" s="17">
        <f t="shared" ca="1" si="8"/>
        <v>15361.227958432815</v>
      </c>
      <c r="G82" s="17">
        <f ca="1">IF(C82=" "," ",IF(C82=$D$12,$D$4-SUM($G$21:G81),($D$13-H82)))</f>
        <v>2966.0418839564118</v>
      </c>
      <c r="H82" s="17">
        <f t="shared" ca="1" si="5"/>
        <v>12395.186074476404</v>
      </c>
      <c r="I82" s="10">
        <f t="shared" ca="1" si="4"/>
        <v>0</v>
      </c>
      <c r="Q82" s="32"/>
      <c r="U82" s="31" t="str">
        <f ca="1">IF(B81=$D$3,XIRR($F$20:F81,$C$20:C81)," ")</f>
        <v xml:space="preserve"> </v>
      </c>
    </row>
    <row r="83" spans="2:21" x14ac:dyDescent="0.25">
      <c r="B83" s="10">
        <f t="shared" ca="1" si="10"/>
        <v>63</v>
      </c>
      <c r="C83" s="28">
        <f t="shared" ca="1" si="2"/>
        <v>47358</v>
      </c>
      <c r="D83" s="10">
        <f t="shared" ca="1" si="11"/>
        <v>31</v>
      </c>
      <c r="E83" s="17">
        <f t="shared" ca="1" si="9"/>
        <v>425273.19828596932</v>
      </c>
      <c r="F83" s="17">
        <f t="shared" ca="1" si="8"/>
        <v>15361.227958432815</v>
      </c>
      <c r="G83" s="17">
        <f ca="1">IF(C83=" "," ",IF(C83=$D$12,$D$4-SUM($G$21:G82),($D$13-H83)))</f>
        <v>2641.0376571111083</v>
      </c>
      <c r="H83" s="17">
        <f t="shared" ca="1" si="5"/>
        <v>12720.190301321707</v>
      </c>
      <c r="I83" s="10">
        <f t="shared" ca="1" si="4"/>
        <v>0</v>
      </c>
      <c r="Q83" s="32"/>
      <c r="U83" s="31" t="str">
        <f ca="1">IF(B82=$D$3,XIRR($F$20:F82,$C$20:C82)," ")</f>
        <v xml:space="preserve"> </v>
      </c>
    </row>
    <row r="84" spans="2:21" x14ac:dyDescent="0.25">
      <c r="B84" s="10">
        <f t="shared" ca="1" si="10"/>
        <v>64</v>
      </c>
      <c r="C84" s="28">
        <f t="shared" ca="1" si="2"/>
        <v>47389</v>
      </c>
      <c r="D84" s="10">
        <f t="shared" ca="1" si="11"/>
        <v>31</v>
      </c>
      <c r="E84" s="17">
        <f t="shared" ca="1" si="9"/>
        <v>422553.65307110571</v>
      </c>
      <c r="F84" s="17">
        <f t="shared" ca="1" si="8"/>
        <v>15361.227958432815</v>
      </c>
      <c r="G84" s="17">
        <f ca="1">IF(C84=" "," ",IF(C84=$D$12,$D$4-SUM($G$21:G83),($D$13-H84)))</f>
        <v>2719.5452148635923</v>
      </c>
      <c r="H84" s="17">
        <f t="shared" ca="1" si="5"/>
        <v>12641.682743569223</v>
      </c>
      <c r="I84" s="10">
        <f t="shared" ca="1" si="4"/>
        <v>0</v>
      </c>
      <c r="Q84" s="32"/>
      <c r="U84" s="31" t="str">
        <f ca="1">IF(B83=$D$3,XIRR($F$20:F83,$C$20:C83)," ")</f>
        <v xml:space="preserve"> </v>
      </c>
    </row>
    <row r="85" spans="2:21" x14ac:dyDescent="0.25">
      <c r="B85" s="10">
        <f t="shared" ca="1" si="10"/>
        <v>65</v>
      </c>
      <c r="C85" s="28">
        <f t="shared" ca="1" si="2"/>
        <v>47419</v>
      </c>
      <c r="D85" s="10">
        <f t="shared" ca="1" si="11"/>
        <v>30</v>
      </c>
      <c r="E85" s="17">
        <f t="shared" ca="1" si="9"/>
        <v>419348.07814622525</v>
      </c>
      <c r="F85" s="17">
        <f t="shared" ca="1" si="8"/>
        <v>15361.227958432815</v>
      </c>
      <c r="G85" s="17">
        <f ca="1">IF(C85=" "," ",IF(C85=$D$12,$D$4-SUM($G$21:G84),($D$13-H85)))</f>
        <v>3205.5749248804605</v>
      </c>
      <c r="H85" s="17">
        <f t="shared" ca="1" si="5"/>
        <v>12155.653033552355</v>
      </c>
      <c r="I85" s="10">
        <f t="shared" ca="1" si="4"/>
        <v>0</v>
      </c>
      <c r="Q85" s="32"/>
      <c r="U85" s="31" t="str">
        <f ca="1">IF(B84=$D$3,XIRR($F$20:F84,$C$20:C84)," ")</f>
        <v xml:space="preserve"> </v>
      </c>
    </row>
    <row r="86" spans="2:21" x14ac:dyDescent="0.25">
      <c r="B86" s="10">
        <f t="shared" ca="1" si="10"/>
        <v>66</v>
      </c>
      <c r="C86" s="28">
        <f t="shared" ca="1" si="2"/>
        <v>47450</v>
      </c>
      <c r="D86" s="10">
        <f t="shared" ca="1" si="11"/>
        <v>31</v>
      </c>
      <c r="E86" s="17">
        <f t="shared" ca="1" si="9"/>
        <v>416452.40264775557</v>
      </c>
      <c r="F86" s="17">
        <f t="shared" ca="1" si="8"/>
        <v>15361.227958432815</v>
      </c>
      <c r="G86" s="17">
        <f ca="1">IF(C86=" "," ",IF(C86=$D$12,$D$4-SUM($G$21:G85),($D$13-H86)))</f>
        <v>2895.6754984696818</v>
      </c>
      <c r="H86" s="17">
        <f t="shared" ca="1" si="5"/>
        <v>12465.552459963134</v>
      </c>
      <c r="I86" s="10">
        <f t="shared" ca="1" si="4"/>
        <v>0</v>
      </c>
      <c r="Q86" s="32"/>
      <c r="U86" s="31" t="str">
        <f ca="1">IF(B85=$D$3,XIRR($F$20:F85,$C$20:C85)," ")</f>
        <v xml:space="preserve"> </v>
      </c>
    </row>
    <row r="87" spans="2:21" x14ac:dyDescent="0.25">
      <c r="B87" s="10">
        <f t="shared" ca="1" si="10"/>
        <v>67</v>
      </c>
      <c r="C87" s="28">
        <f t="shared" ref="C87:C140" ca="1" si="12">IF(B86&gt;=$D$3, " ", EDATE(C86,1))</f>
        <v>47480</v>
      </c>
      <c r="D87" s="10">
        <f t="shared" ca="1" si="11"/>
        <v>30</v>
      </c>
      <c r="E87" s="17">
        <f t="shared" ca="1" si="9"/>
        <v>413071.31229973765</v>
      </c>
      <c r="F87" s="17">
        <f t="shared" ca="1" si="8"/>
        <v>15361.227958432815</v>
      </c>
      <c r="G87" s="17">
        <f ca="1">IF(C87=" "," ",IF(C87=$D$12,$D$4-SUM($G$21:G86),($D$13-H87)))</f>
        <v>3381.0903480179277</v>
      </c>
      <c r="H87" s="17">
        <f t="shared" ca="1" si="5"/>
        <v>11980.137610414888</v>
      </c>
      <c r="I87" s="10">
        <f t="shared" ref="I87:I140" ca="1" si="13">IF(C87=" "," ",IF($F$8="нет",$D$7*$D$5,($D$5*(1+$D$8))*$D$7))</f>
        <v>0</v>
      </c>
      <c r="Q87" s="32"/>
      <c r="U87" s="31" t="str">
        <f ca="1">IF(B86=$D$3,XIRR($F$20:F86,$C$20:C86)," ")</f>
        <v xml:space="preserve"> </v>
      </c>
    </row>
    <row r="88" spans="2:21" x14ac:dyDescent="0.25">
      <c r="B88" s="10">
        <f t="shared" ca="1" si="10"/>
        <v>68</v>
      </c>
      <c r="C88" s="28">
        <f t="shared" ca="1" si="12"/>
        <v>47511</v>
      </c>
      <c r="D88" s="10">
        <f t="shared" ca="1" si="11"/>
        <v>31</v>
      </c>
      <c r="E88" s="17">
        <f t="shared" ca="1" si="9"/>
        <v>409989.05348774907</v>
      </c>
      <c r="F88" s="17">
        <f t="shared" ca="1" si="8"/>
        <v>15361.227958432815</v>
      </c>
      <c r="G88" s="17">
        <f ca="1">IF(C88=" "," ",IF(C88=$D$12,$D$4-SUM($G$21:G87),($D$13-H88)))</f>
        <v>3082.2588119885604</v>
      </c>
      <c r="H88" s="17">
        <f t="shared" ref="H88:H140" ca="1" si="14">IF(C88=" "," ",E87*$D$6*D88/365)</f>
        <v>12278.969146444255</v>
      </c>
      <c r="I88" s="10">
        <f t="shared" ca="1" si="13"/>
        <v>0</v>
      </c>
      <c r="Q88" s="32"/>
      <c r="U88" s="31" t="str">
        <f ca="1">IF(B87=$D$3,XIRR($F$20:F87,$C$20:C87)," ")</f>
        <v xml:space="preserve"> </v>
      </c>
    </row>
    <row r="89" spans="2:21" x14ac:dyDescent="0.25">
      <c r="B89" s="10">
        <f t="shared" ca="1" si="10"/>
        <v>69</v>
      </c>
      <c r="C89" s="28">
        <f t="shared" ca="1" si="12"/>
        <v>47542</v>
      </c>
      <c r="D89" s="10">
        <f t="shared" ca="1" si="11"/>
        <v>31</v>
      </c>
      <c r="E89" s="17">
        <f t="shared" ca="1" si="9"/>
        <v>406815.17136586987</v>
      </c>
      <c r="F89" s="17">
        <f t="shared" ca="1" si="8"/>
        <v>15361.227958432815</v>
      </c>
      <c r="G89" s="17">
        <f ca="1">IF(C89=" "," ",IF(C89=$D$12,$D$4-SUM($G$21:G88),($D$13-H89)))</f>
        <v>3173.88212187918</v>
      </c>
      <c r="H89" s="17">
        <f t="shared" ca="1" si="14"/>
        <v>12187.345836553635</v>
      </c>
      <c r="I89" s="10">
        <f t="shared" ca="1" si="13"/>
        <v>0</v>
      </c>
      <c r="Q89" s="32"/>
      <c r="U89" s="31" t="str">
        <f ca="1">IF(B88=$D$3,XIRR($F$20:F88,$C$20:C88)," ")</f>
        <v xml:space="preserve"> </v>
      </c>
    </row>
    <row r="90" spans="2:21" x14ac:dyDescent="0.25">
      <c r="B90" s="10">
        <f t="shared" ca="1" si="10"/>
        <v>70</v>
      </c>
      <c r="C90" s="28">
        <f t="shared" ca="1" si="12"/>
        <v>47570</v>
      </c>
      <c r="D90" s="10">
        <f t="shared" ca="1" si="11"/>
        <v>28</v>
      </c>
      <c r="E90" s="17">
        <f t="shared" ca="1" si="9"/>
        <v>402376.65211808233</v>
      </c>
      <c r="F90" s="17">
        <f t="shared" ca="1" si="8"/>
        <v>15361.227958432815</v>
      </c>
      <c r="G90" s="17">
        <f ca="1">IF(C90=" "," ",IF(C90=$D$12,$D$4-SUM($G$21:G89),($D$13-H90)))</f>
        <v>4438.5192477875426</v>
      </c>
      <c r="H90" s="17">
        <f t="shared" ca="1" si="14"/>
        <v>10922.708710645273</v>
      </c>
      <c r="I90" s="10">
        <f t="shared" ca="1" si="13"/>
        <v>0</v>
      </c>
      <c r="Q90" s="32"/>
      <c r="U90" s="31" t="str">
        <f ca="1">IF(B89=$D$3,XIRR($F$20:F89,$C$20:C89)," ")</f>
        <v xml:space="preserve"> </v>
      </c>
    </row>
    <row r="91" spans="2:21" x14ac:dyDescent="0.25">
      <c r="B91" s="10">
        <f t="shared" ca="1" si="10"/>
        <v>71</v>
      </c>
      <c r="C91" s="28">
        <f t="shared" ca="1" si="12"/>
        <v>47601</v>
      </c>
      <c r="D91" s="10">
        <f t="shared" ca="1" si="11"/>
        <v>31</v>
      </c>
      <c r="E91" s="17">
        <f t="shared" ca="1" si="9"/>
        <v>398976.48354452947</v>
      </c>
      <c r="F91" s="17">
        <f t="shared" ca="1" si="8"/>
        <v>15361.227958432815</v>
      </c>
      <c r="G91" s="17">
        <f ca="1">IF(C91=" "," ",IF(C91=$D$12,$D$4-SUM($G$21:G90),($D$13-H91)))</f>
        <v>3400.1685735528354</v>
      </c>
      <c r="H91" s="17">
        <f t="shared" ca="1" si="14"/>
        <v>11961.05938487998</v>
      </c>
      <c r="I91" s="10">
        <f t="shared" ca="1" si="13"/>
        <v>0</v>
      </c>
      <c r="Q91" s="32"/>
      <c r="U91" s="31" t="str">
        <f ca="1">IF(B90=$D$3,XIRR($F$20:F90,$C$20:C90)," ")</f>
        <v xml:space="preserve"> </v>
      </c>
    </row>
    <row r="92" spans="2:21" x14ac:dyDescent="0.25">
      <c r="B92" s="10">
        <f t="shared" ca="1" si="10"/>
        <v>72</v>
      </c>
      <c r="C92" s="28">
        <f t="shared" ca="1" si="12"/>
        <v>47631</v>
      </c>
      <c r="D92" s="10">
        <f t="shared" ca="1" si="11"/>
        <v>30</v>
      </c>
      <c r="E92" s="17">
        <f t="shared" ca="1" si="9"/>
        <v>395092.66127710365</v>
      </c>
      <c r="F92" s="17">
        <f t="shared" ca="1" si="8"/>
        <v>15361.227958432815</v>
      </c>
      <c r="G92" s="17">
        <f ca="1">IF(C92=" "," ",IF(C92=$D$12,$D$4-SUM($G$21:G91),($D$13-H92)))</f>
        <v>3883.822267425805</v>
      </c>
      <c r="H92" s="17">
        <f t="shared" ca="1" si="14"/>
        <v>11477.40569100701</v>
      </c>
      <c r="I92" s="10">
        <f t="shared" ca="1" si="13"/>
        <v>0</v>
      </c>
      <c r="Q92" s="32"/>
      <c r="U92" s="31" t="str">
        <f ca="1">IF(B91=$D$3,XIRR($F$20:F91,$C$20:C91)," ")</f>
        <v xml:space="preserve"> </v>
      </c>
    </row>
    <row r="93" spans="2:21" x14ac:dyDescent="0.25">
      <c r="B93" s="10">
        <f t="shared" ca="1" si="10"/>
        <v>73</v>
      </c>
      <c r="C93" s="28">
        <f t="shared" ca="1" si="12"/>
        <v>47662</v>
      </c>
      <c r="D93" s="10">
        <f t="shared" ca="1" si="11"/>
        <v>31</v>
      </c>
      <c r="E93" s="17">
        <f t="shared" ca="1" si="9"/>
        <v>391475.96859225049</v>
      </c>
      <c r="F93" s="17">
        <f t="shared" ca="1" si="8"/>
        <v>17861.227958432813</v>
      </c>
      <c r="G93" s="17">
        <f ca="1">IF(C93=" "," ",IF(C93=$D$12,$D$4-SUM($G$21:G92),($D$13-H93)))</f>
        <v>3616.6926848531584</v>
      </c>
      <c r="H93" s="17">
        <f t="shared" ca="1" si="14"/>
        <v>11744.535273579657</v>
      </c>
      <c r="I93" s="10">
        <f t="shared" ca="1" si="13"/>
        <v>0</v>
      </c>
      <c r="Q93" s="32">
        <f ca="1">IF(B93=" "," ",$D$10*$D$9+$D$11*E93)</f>
        <v>2500</v>
      </c>
      <c r="U93" s="31" t="str">
        <f ca="1">IF(B92=$D$3,XIRR($F$20:F92,$C$20:C92)," ")</f>
        <v xml:space="preserve"> </v>
      </c>
    </row>
    <row r="94" spans="2:21" x14ac:dyDescent="0.25">
      <c r="B94" s="10">
        <f t="shared" ca="1" si="10"/>
        <v>74</v>
      </c>
      <c r="C94" s="28">
        <f t="shared" ca="1" si="12"/>
        <v>47692</v>
      </c>
      <c r="D94" s="10">
        <f t="shared" ca="1" si="11"/>
        <v>30</v>
      </c>
      <c r="E94" s="17">
        <f t="shared" ca="1" si="9"/>
        <v>387376.37808647146</v>
      </c>
      <c r="F94" s="17">
        <f t="shared" ca="1" si="8"/>
        <v>15361.227958432815</v>
      </c>
      <c r="G94" s="17">
        <f ca="1">IF(C94=" "," ",IF(C94=$D$12,$D$4-SUM($G$21:G93),($D$13-H94)))</f>
        <v>4099.5905057790351</v>
      </c>
      <c r="H94" s="17">
        <f t="shared" ca="1" si="14"/>
        <v>11261.63745265378</v>
      </c>
      <c r="I94" s="10">
        <f t="shared" ca="1" si="13"/>
        <v>0</v>
      </c>
      <c r="Q94" s="32"/>
      <c r="U94" s="31" t="str">
        <f ca="1">IF(B93=$D$3,XIRR($F$20:F93,$C$20:C93)," ")</f>
        <v xml:space="preserve"> </v>
      </c>
    </row>
    <row r="95" spans="2:21" x14ac:dyDescent="0.25">
      <c r="B95" s="10">
        <f t="shared" ca="1" si="10"/>
        <v>75</v>
      </c>
      <c r="C95" s="28">
        <f t="shared" ca="1" si="12"/>
        <v>47723</v>
      </c>
      <c r="D95" s="10">
        <f t="shared" ca="1" si="11"/>
        <v>31</v>
      </c>
      <c r="E95" s="17">
        <f t="shared" ca="1" si="9"/>
        <v>383530.31095608854</v>
      </c>
      <c r="F95" s="17">
        <f t="shared" ca="1" si="8"/>
        <v>15361.227958432815</v>
      </c>
      <c r="G95" s="17">
        <f ca="1">IF(C95=" "," ",IF(C95=$D$12,$D$4-SUM($G$21:G94),($D$13-H95)))</f>
        <v>3846.0671303829113</v>
      </c>
      <c r="H95" s="17">
        <f t="shared" ca="1" si="14"/>
        <v>11515.160828049904</v>
      </c>
      <c r="I95" s="10">
        <f t="shared" ca="1" si="13"/>
        <v>0</v>
      </c>
      <c r="Q95" s="32"/>
      <c r="U95" s="31" t="str">
        <f ca="1">IF(B94=$D$3,XIRR($F$20:F94,$C$20:C94)," ")</f>
        <v xml:space="preserve"> </v>
      </c>
    </row>
    <row r="96" spans="2:21" x14ac:dyDescent="0.25">
      <c r="B96" s="10">
        <f t="shared" ca="1" si="10"/>
        <v>76</v>
      </c>
      <c r="C96" s="28">
        <f t="shared" ca="1" si="12"/>
        <v>47754</v>
      </c>
      <c r="D96" s="10">
        <f t="shared" ca="1" si="11"/>
        <v>31</v>
      </c>
      <c r="E96" s="17">
        <f t="shared" ca="1" si="9"/>
        <v>379569.91552881617</v>
      </c>
      <c r="F96" s="17">
        <f t="shared" ca="1" si="8"/>
        <v>15361.227958432815</v>
      </c>
      <c r="G96" s="17">
        <f ca="1">IF(C96=" "," ",IF(C96=$D$12,$D$4-SUM($G$21:G95),($D$13-H96)))</f>
        <v>3960.3954272723749</v>
      </c>
      <c r="H96" s="17">
        <f t="shared" ca="1" si="14"/>
        <v>11400.83253116044</v>
      </c>
      <c r="I96" s="10">
        <f t="shared" ca="1" si="13"/>
        <v>0</v>
      </c>
      <c r="Q96" s="32"/>
      <c r="U96" s="31" t="str">
        <f ca="1">IF(B95=$D$3,XIRR($F$20:F95,$C$20:C95)," ")</f>
        <v xml:space="preserve"> </v>
      </c>
    </row>
    <row r="97" spans="2:21" x14ac:dyDescent="0.25">
      <c r="B97" s="10">
        <f t="shared" ca="1" si="10"/>
        <v>77</v>
      </c>
      <c r="C97" s="28">
        <f t="shared" ca="1" si="12"/>
        <v>47784</v>
      </c>
      <c r="D97" s="10">
        <f t="shared" ca="1" si="11"/>
        <v>30</v>
      </c>
      <c r="E97" s="17">
        <f t="shared" ca="1" si="9"/>
        <v>375127.82212669175</v>
      </c>
      <c r="F97" s="17">
        <f t="shared" ref="F97:F140" ca="1" si="15">IF(C97=" "," ",G97+H97+I97+Q97)</f>
        <v>15361.227958432815</v>
      </c>
      <c r="G97" s="17">
        <f ca="1">IF(C97=" "," ",IF(C97=$D$12,$D$4-SUM($G$21:G96),($D$13-H97)))</f>
        <v>4442.0934021244066</v>
      </c>
      <c r="H97" s="17">
        <f t="shared" ca="1" si="14"/>
        <v>10919.134556308409</v>
      </c>
      <c r="I97" s="10">
        <f t="shared" ca="1" si="13"/>
        <v>0</v>
      </c>
      <c r="Q97" s="32"/>
      <c r="U97" s="31" t="str">
        <f ca="1">IF(B96=$D$3,XIRR($F$20:F96,$C$20:C96)," ")</f>
        <v xml:space="preserve"> </v>
      </c>
    </row>
    <row r="98" spans="2:21" x14ac:dyDescent="0.25">
      <c r="B98" s="10">
        <f t="shared" ca="1" si="10"/>
        <v>78</v>
      </c>
      <c r="C98" s="28">
        <f t="shared" ca="1" si="12"/>
        <v>47815</v>
      </c>
      <c r="D98" s="10">
        <f t="shared" ca="1" si="11"/>
        <v>31</v>
      </c>
      <c r="E98" s="17">
        <f t="shared" ca="1" si="9"/>
        <v>370917.65408627153</v>
      </c>
      <c r="F98" s="17">
        <f t="shared" ca="1" si="15"/>
        <v>15361.227958432815</v>
      </c>
      <c r="G98" s="17">
        <f ca="1">IF(C98=" "," ",IF(C98=$D$12,$D$4-SUM($G$21:G97),($D$13-H98)))</f>
        <v>4210.1680404201979</v>
      </c>
      <c r="H98" s="17">
        <f t="shared" ca="1" si="14"/>
        <v>11151.059918012617</v>
      </c>
      <c r="I98" s="10">
        <f t="shared" ca="1" si="13"/>
        <v>0</v>
      </c>
      <c r="Q98" s="32"/>
      <c r="U98" s="31" t="str">
        <f ca="1">IF(B97=$D$3,XIRR($F$20:F97,$C$20:C97)," ")</f>
        <v xml:space="preserve"> </v>
      </c>
    </row>
    <row r="99" spans="2:21" x14ac:dyDescent="0.25">
      <c r="B99" s="10">
        <f t="shared" ca="1" si="10"/>
        <v>79</v>
      </c>
      <c r="C99" s="28">
        <f t="shared" ca="1" si="12"/>
        <v>47845</v>
      </c>
      <c r="D99" s="10">
        <f t="shared" ca="1" si="11"/>
        <v>30</v>
      </c>
      <c r="E99" s="17">
        <f t="shared" ca="1" si="9"/>
        <v>366226.66001251229</v>
      </c>
      <c r="F99" s="17">
        <f t="shared" ca="1" si="15"/>
        <v>15361.227958432815</v>
      </c>
      <c r="G99" s="17">
        <f ca="1">IF(C99=" "," ",IF(C99=$D$12,$D$4-SUM($G$21:G98),($D$13-H99)))</f>
        <v>4690.9940737592515</v>
      </c>
      <c r="H99" s="17">
        <f t="shared" ca="1" si="14"/>
        <v>10670.233884673564</v>
      </c>
      <c r="I99" s="10">
        <f t="shared" ca="1" si="13"/>
        <v>0</v>
      </c>
      <c r="Q99" s="32"/>
      <c r="U99" s="31" t="str">
        <f ca="1">IF(B98=$D$3,XIRR($F$20:F98,$C$20:C98)," ")</f>
        <v xml:space="preserve"> </v>
      </c>
    </row>
    <row r="100" spans="2:21" x14ac:dyDescent="0.25">
      <c r="B100" s="10">
        <f t="shared" ca="1" si="10"/>
        <v>80</v>
      </c>
      <c r="C100" s="28">
        <f t="shared" ca="1" si="12"/>
        <v>47876</v>
      </c>
      <c r="D100" s="10">
        <f t="shared" ca="1" si="11"/>
        <v>31</v>
      </c>
      <c r="E100" s="17">
        <f t="shared" ca="1" si="9"/>
        <v>361751.89578321856</v>
      </c>
      <c r="F100" s="17">
        <f t="shared" ca="1" si="15"/>
        <v>15361.227958432815</v>
      </c>
      <c r="G100" s="17">
        <f ca="1">IF(C100=" "," ",IF(C100=$D$12,$D$4-SUM($G$21:G99),($D$13-H100)))</f>
        <v>4474.7642292937526</v>
      </c>
      <c r="H100" s="17">
        <f t="shared" ca="1" si="14"/>
        <v>10886.463729139063</v>
      </c>
      <c r="I100" s="10">
        <f t="shared" ca="1" si="13"/>
        <v>0</v>
      </c>
      <c r="Q100" s="32"/>
      <c r="U100" s="31" t="str">
        <f ca="1">IF(B99=$D$3,XIRR($F$20:F99,$C$20:C99)," ")</f>
        <v xml:space="preserve"> </v>
      </c>
    </row>
    <row r="101" spans="2:21" x14ac:dyDescent="0.25">
      <c r="B101" s="10">
        <f t="shared" ca="1" si="10"/>
        <v>81</v>
      </c>
      <c r="C101" s="28">
        <f t="shared" ca="1" si="12"/>
        <v>47907</v>
      </c>
      <c r="D101" s="10">
        <f t="shared" ca="1" si="11"/>
        <v>31</v>
      </c>
      <c r="E101" s="17">
        <f t="shared" ca="1" si="9"/>
        <v>357144.11458984856</v>
      </c>
      <c r="F101" s="17">
        <f t="shared" ca="1" si="15"/>
        <v>15361.227958432815</v>
      </c>
      <c r="G101" s="17">
        <f ca="1">IF(C101=" "," ",IF(C101=$D$12,$D$4-SUM($G$21:G100),($D$13-H101)))</f>
        <v>4607.7811933700177</v>
      </c>
      <c r="H101" s="17">
        <f t="shared" ca="1" si="14"/>
        <v>10753.446765062798</v>
      </c>
      <c r="I101" s="10">
        <f t="shared" ca="1" si="13"/>
        <v>0</v>
      </c>
      <c r="Q101" s="32"/>
      <c r="U101" s="31" t="str">
        <f ca="1">IF(B100=$D$3,XIRR($F$20:F100,$C$20:C100)," ")</f>
        <v xml:space="preserve"> </v>
      </c>
    </row>
    <row r="102" spans="2:21" x14ac:dyDescent="0.25">
      <c r="B102" s="10">
        <f t="shared" ca="1" si="10"/>
        <v>82</v>
      </c>
      <c r="C102" s="28">
        <f t="shared" ca="1" si="12"/>
        <v>47935</v>
      </c>
      <c r="D102" s="10">
        <f t="shared" ca="1" si="11"/>
        <v>28</v>
      </c>
      <c r="E102" s="17">
        <f t="shared" ca="1" si="9"/>
        <v>351371.96148889663</v>
      </c>
      <c r="F102" s="17">
        <f t="shared" ca="1" si="15"/>
        <v>15361.227958432815</v>
      </c>
      <c r="G102" s="17">
        <f ca="1">IF(C102=" "," ",IF(C102=$D$12,$D$4-SUM($G$21:G101),($D$13-H102)))</f>
        <v>5772.1531009519513</v>
      </c>
      <c r="H102" s="17">
        <f t="shared" ca="1" si="14"/>
        <v>9589.074857480864</v>
      </c>
      <c r="I102" s="10">
        <f t="shared" ca="1" si="13"/>
        <v>0</v>
      </c>
      <c r="Q102" s="32"/>
      <c r="U102" s="31" t="str">
        <f ca="1">IF(B101=$D$3,XIRR($F$20:F101,$C$20:C101)," ")</f>
        <v xml:space="preserve"> </v>
      </c>
    </row>
    <row r="103" spans="2:21" x14ac:dyDescent="0.25">
      <c r="B103" s="10">
        <f t="shared" ca="1" si="10"/>
        <v>83</v>
      </c>
      <c r="C103" s="28">
        <f t="shared" ca="1" si="12"/>
        <v>47966</v>
      </c>
      <c r="D103" s="10">
        <f t="shared" ca="1" si="11"/>
        <v>31</v>
      </c>
      <c r="E103" s="17">
        <f t="shared" ca="1" si="9"/>
        <v>346455.62608431187</v>
      </c>
      <c r="F103" s="17">
        <f t="shared" ca="1" si="15"/>
        <v>15361.227958432815</v>
      </c>
      <c r="G103" s="17">
        <f ca="1">IF(C103=" "," ",IF(C103=$D$12,$D$4-SUM($G$21:G102),($D$13-H103)))</f>
        <v>4916.3354045847937</v>
      </c>
      <c r="H103" s="17">
        <f t="shared" ca="1" si="14"/>
        <v>10444.892553848022</v>
      </c>
      <c r="I103" s="10">
        <f t="shared" ca="1" si="13"/>
        <v>0</v>
      </c>
      <c r="Q103" s="32"/>
      <c r="U103" s="31" t="str">
        <f ca="1">IF(B102=$D$3,XIRR($F$20:F102,$C$20:C102)," ")</f>
        <v xml:space="preserve"> </v>
      </c>
    </row>
    <row r="104" spans="2:21" x14ac:dyDescent="0.25">
      <c r="B104" s="10">
        <f t="shared" ca="1" si="10"/>
        <v>84</v>
      </c>
      <c r="C104" s="28">
        <f t="shared" ca="1" si="12"/>
        <v>47996</v>
      </c>
      <c r="D104" s="10">
        <f t="shared" ca="1" si="11"/>
        <v>30</v>
      </c>
      <c r="E104" s="17">
        <f t="shared" ca="1" si="9"/>
        <v>341060.9298351538</v>
      </c>
      <c r="F104" s="17">
        <f t="shared" ca="1" si="15"/>
        <v>15361.227958432815</v>
      </c>
      <c r="G104" s="17">
        <f ca="1">IF(C104=" "," ",IF(C104=$D$12,$D$4-SUM($G$21:G103),($D$13-H104)))</f>
        <v>5394.6962491580907</v>
      </c>
      <c r="H104" s="17">
        <f t="shared" ca="1" si="14"/>
        <v>9966.5317092747246</v>
      </c>
      <c r="I104" s="10">
        <f t="shared" ca="1" si="13"/>
        <v>0</v>
      </c>
      <c r="Q104" s="32"/>
      <c r="U104" s="31" t="str">
        <f ca="1">IF(B103=$D$3,XIRR($F$20:F103,$C$20:C103)," ")</f>
        <v xml:space="preserve"> </v>
      </c>
    </row>
    <row r="105" spans="2:21" x14ac:dyDescent="0.25">
      <c r="B105" s="10">
        <f t="shared" ca="1" si="10"/>
        <v>85</v>
      </c>
      <c r="C105" s="28">
        <f t="shared" ca="1" si="12"/>
        <v>48027</v>
      </c>
      <c r="D105" s="10">
        <f t="shared" ca="1" si="11"/>
        <v>31</v>
      </c>
      <c r="E105" s="17">
        <f t="shared" ca="1" si="9"/>
        <v>335838.08842113585</v>
      </c>
      <c r="F105" s="17">
        <f t="shared" ca="1" si="15"/>
        <v>17861.227958432813</v>
      </c>
      <c r="G105" s="17">
        <f ca="1">IF(C105=" "," ",IF(C105=$D$12,$D$4-SUM($G$21:G104),($D$13-H105)))</f>
        <v>5222.8414140179702</v>
      </c>
      <c r="H105" s="17">
        <f t="shared" ca="1" si="14"/>
        <v>10138.386544414845</v>
      </c>
      <c r="I105" s="10">
        <f t="shared" ca="1" si="13"/>
        <v>0</v>
      </c>
      <c r="Q105" s="32">
        <f ca="1">IF(B105=" "," ",$D$10*$D$9+$D$11*E105)</f>
        <v>2500</v>
      </c>
      <c r="U105" s="31" t="str">
        <f ca="1">IF(B104=$D$3,XIRR($F$20:F104,$C$20:C104)," ")</f>
        <v xml:space="preserve"> </v>
      </c>
    </row>
    <row r="106" spans="2:21" x14ac:dyDescent="0.25">
      <c r="B106" s="10">
        <f t="shared" ca="1" si="10"/>
        <v>86</v>
      </c>
      <c r="C106" s="28">
        <f t="shared" ca="1" si="12"/>
        <v>48057</v>
      </c>
      <c r="D106" s="10">
        <f t="shared" ca="1" si="11"/>
        <v>30</v>
      </c>
      <c r="E106" s="17">
        <f t="shared" ca="1" si="9"/>
        <v>330137.9561570097</v>
      </c>
      <c r="F106" s="17">
        <f t="shared" ca="1" si="15"/>
        <v>15361.227958432815</v>
      </c>
      <c r="G106" s="17">
        <f ca="1">IF(C106=" "," ",IF(C106=$D$12,$D$4-SUM($G$21:G105),($D$13-H106)))</f>
        <v>5700.1322641261686</v>
      </c>
      <c r="H106" s="17">
        <f t="shared" ca="1" si="14"/>
        <v>9661.0956943066467</v>
      </c>
      <c r="I106" s="10">
        <f t="shared" ca="1" si="13"/>
        <v>0</v>
      </c>
      <c r="Q106" s="32"/>
      <c r="U106" s="31" t="str">
        <f ca="1">IF(B105=$D$3,XIRR($F$20:F105,$C$20:C105)," ")</f>
        <v xml:space="preserve"> </v>
      </c>
    </row>
    <row r="107" spans="2:21" x14ac:dyDescent="0.25">
      <c r="B107" s="10">
        <f t="shared" ca="1" si="10"/>
        <v>87</v>
      </c>
      <c r="C107" s="28">
        <f t="shared" ca="1" si="12"/>
        <v>48088</v>
      </c>
      <c r="D107" s="10">
        <f t="shared" ca="1" si="11"/>
        <v>31</v>
      </c>
      <c r="E107" s="17">
        <f t="shared" ca="1" si="9"/>
        <v>324590.41812817566</v>
      </c>
      <c r="F107" s="17">
        <f t="shared" ca="1" si="15"/>
        <v>15361.227958432815</v>
      </c>
      <c r="G107" s="17">
        <f ca="1">IF(C107=" "," ",IF(C107=$D$12,$D$4-SUM($G$21:G106),($D$13-H107)))</f>
        <v>5547.5380288340348</v>
      </c>
      <c r="H107" s="17">
        <f t="shared" ca="1" si="14"/>
        <v>9813.6899295987805</v>
      </c>
      <c r="I107" s="10">
        <f t="shared" ca="1" si="13"/>
        <v>0</v>
      </c>
      <c r="Q107" s="32"/>
      <c r="U107" s="31" t="str">
        <f ca="1">IF(B106=$D$3,XIRR($F$20:F106,$C$20:C106)," ")</f>
        <v xml:space="preserve"> </v>
      </c>
    </row>
    <row r="108" spans="2:21" x14ac:dyDescent="0.25">
      <c r="B108" s="10">
        <f t="shared" ca="1" si="10"/>
        <v>88</v>
      </c>
      <c r="C108" s="28">
        <f t="shared" ca="1" si="12"/>
        <v>48119</v>
      </c>
      <c r="D108" s="10">
        <f t="shared" ca="1" si="11"/>
        <v>31</v>
      </c>
      <c r="E108" s="17">
        <f t="shared" ca="1" si="9"/>
        <v>318877.97383190918</v>
      </c>
      <c r="F108" s="17">
        <f t="shared" ca="1" si="15"/>
        <v>15361.227958432815</v>
      </c>
      <c r="G108" s="17">
        <f ca="1">IF(C108=" "," ",IF(C108=$D$12,$D$4-SUM($G$21:G107),($D$13-H108)))</f>
        <v>5712.444296266498</v>
      </c>
      <c r="H108" s="17">
        <f t="shared" ca="1" si="14"/>
        <v>9648.7836621663173</v>
      </c>
      <c r="I108" s="10">
        <f t="shared" ca="1" si="13"/>
        <v>0</v>
      </c>
      <c r="Q108" s="32"/>
      <c r="U108" s="31" t="str">
        <f ca="1">IF(B107=$D$3,XIRR($F$20:F107,$C$20:C107)," ")</f>
        <v xml:space="preserve"> </v>
      </c>
    </row>
    <row r="109" spans="2:21" x14ac:dyDescent="0.25">
      <c r="B109" s="10">
        <f t="shared" ca="1" si="10"/>
        <v>89</v>
      </c>
      <c r="C109" s="28">
        <f t="shared" ca="1" si="12"/>
        <v>48149</v>
      </c>
      <c r="D109" s="10">
        <f t="shared" ca="1" si="11"/>
        <v>30</v>
      </c>
      <c r="E109" s="17">
        <f t="shared" ca="1" si="9"/>
        <v>312689.94786042173</v>
      </c>
      <c r="F109" s="17">
        <f t="shared" ca="1" si="15"/>
        <v>15361.227958432815</v>
      </c>
      <c r="G109" s="17">
        <f ca="1">IF(C109=" "," ",IF(C109=$D$12,$D$4-SUM($G$21:G108),($D$13-H109)))</f>
        <v>6188.0259714874828</v>
      </c>
      <c r="H109" s="17">
        <f t="shared" ca="1" si="14"/>
        <v>9173.2019869453325</v>
      </c>
      <c r="I109" s="10">
        <f t="shared" ca="1" si="13"/>
        <v>0</v>
      </c>
      <c r="Q109" s="32"/>
      <c r="U109" s="31" t="str">
        <f ca="1">IF(B108=$D$3,XIRR($F$20:F108,$C$20:C108)," ")</f>
        <v xml:space="preserve"> </v>
      </c>
    </row>
    <row r="110" spans="2:21" x14ac:dyDescent="0.25">
      <c r="B110" s="10">
        <f t="shared" ca="1" si="10"/>
        <v>90</v>
      </c>
      <c r="C110" s="28">
        <f t="shared" ca="1" si="12"/>
        <v>48180</v>
      </c>
      <c r="D110" s="10">
        <f t="shared" ca="1" si="11"/>
        <v>31</v>
      </c>
      <c r="E110" s="17">
        <f t="shared" ref="E110:E140" ca="1" si="16">IF(C110=" "," ",E109-G110)</f>
        <v>306623.74985893571</v>
      </c>
      <c r="F110" s="17">
        <f t="shared" ca="1" si="15"/>
        <v>15361.227958432815</v>
      </c>
      <c r="G110" s="17">
        <f ca="1">IF(C110=" "," ",IF(C110=$D$12,$D$4-SUM($G$21:G109),($D$13-H110)))</f>
        <v>6066.1980014860328</v>
      </c>
      <c r="H110" s="17">
        <f t="shared" ca="1" si="14"/>
        <v>9295.0299569467825</v>
      </c>
      <c r="I110" s="10">
        <f t="shared" ca="1" si="13"/>
        <v>0</v>
      </c>
      <c r="Q110" s="32"/>
      <c r="U110" s="31" t="str">
        <f ca="1">IF(B109=$D$3,XIRR($F$20:F109,$C$20:C109)," ")</f>
        <v xml:space="preserve"> </v>
      </c>
    </row>
    <row r="111" spans="2:21" x14ac:dyDescent="0.25">
      <c r="B111" s="10">
        <f t="shared" ca="1" si="10"/>
        <v>91</v>
      </c>
      <c r="C111" s="28">
        <f t="shared" ca="1" si="12"/>
        <v>48210</v>
      </c>
      <c r="D111" s="10">
        <f t="shared" ca="1" si="11"/>
        <v>30</v>
      </c>
      <c r="E111" s="17">
        <f t="shared" ca="1" si="16"/>
        <v>300083.20511562296</v>
      </c>
      <c r="F111" s="17">
        <f t="shared" ca="1" si="15"/>
        <v>15361.227958432815</v>
      </c>
      <c r="G111" s="17">
        <f ca="1">IF(C111=" "," ",IF(C111=$D$12,$D$4-SUM($G$21:G110),($D$13-H111)))</f>
        <v>6540.5447433127483</v>
      </c>
      <c r="H111" s="17">
        <f t="shared" ca="1" si="14"/>
        <v>8820.683215120067</v>
      </c>
      <c r="I111" s="10">
        <f t="shared" ca="1" si="13"/>
        <v>0</v>
      </c>
      <c r="Q111" s="32"/>
      <c r="U111" s="31" t="str">
        <f ca="1">IF(B110=$D$3,XIRR($F$20:F110,$C$20:C110)," ")</f>
        <v xml:space="preserve"> </v>
      </c>
    </row>
    <row r="112" spans="2:21" x14ac:dyDescent="0.25">
      <c r="B112" s="10">
        <f t="shared" ca="1" si="10"/>
        <v>92</v>
      </c>
      <c r="C112" s="28">
        <f t="shared" ca="1" si="12"/>
        <v>48241</v>
      </c>
      <c r="D112" s="10">
        <f t="shared" ca="1" si="11"/>
        <v>31</v>
      </c>
      <c r="E112" s="17">
        <f t="shared" ca="1" si="16"/>
        <v>293642.25873391482</v>
      </c>
      <c r="F112" s="17">
        <f t="shared" ca="1" si="15"/>
        <v>15361.227958432815</v>
      </c>
      <c r="G112" s="17">
        <f ca="1">IF(C112=" "," ",IF(C112=$D$12,$D$4-SUM($G$21:G111),($D$13-H112)))</f>
        <v>6440.9463817081341</v>
      </c>
      <c r="H112" s="17">
        <f t="shared" ca="1" si="14"/>
        <v>8920.2815767246811</v>
      </c>
      <c r="I112" s="10">
        <f t="shared" ca="1" si="13"/>
        <v>0</v>
      </c>
      <c r="Q112" s="32"/>
      <c r="U112" s="31" t="str">
        <f ca="1">IF(B111=$D$3,XIRR($F$20:F111,$C$20:C111)," ")</f>
        <v xml:space="preserve"> </v>
      </c>
    </row>
    <row r="113" spans="2:21" x14ac:dyDescent="0.25">
      <c r="B113" s="10">
        <f t="shared" ca="1" si="10"/>
        <v>93</v>
      </c>
      <c r="C113" s="28">
        <f t="shared" ca="1" si="12"/>
        <v>48272</v>
      </c>
      <c r="D113" s="10">
        <f t="shared" ca="1" si="11"/>
        <v>31</v>
      </c>
      <c r="E113" s="17">
        <f t="shared" ca="1" si="16"/>
        <v>287009.84860359976</v>
      </c>
      <c r="F113" s="17">
        <f t="shared" ca="1" si="15"/>
        <v>15361.227958432815</v>
      </c>
      <c r="G113" s="17">
        <f ca="1">IF(C113=" "," ",IF(C113=$D$12,$D$4-SUM($G$21:G112),($D$13-H113)))</f>
        <v>6632.4101303150746</v>
      </c>
      <c r="H113" s="17">
        <f t="shared" ca="1" si="14"/>
        <v>8728.8178281177406</v>
      </c>
      <c r="I113" s="10">
        <f t="shared" ca="1" si="13"/>
        <v>0</v>
      </c>
      <c r="Q113" s="32"/>
      <c r="U113" s="31" t="str">
        <f ca="1">IF(B112=$D$3,XIRR($F$20:F112,$C$20:C112)," ")</f>
        <v xml:space="preserve"> </v>
      </c>
    </row>
    <row r="114" spans="2:21" x14ac:dyDescent="0.25">
      <c r="B114" s="10">
        <f t="shared" ca="1" si="10"/>
        <v>94</v>
      </c>
      <c r="C114" s="28">
        <f t="shared" ca="1" si="12"/>
        <v>48301</v>
      </c>
      <c r="D114" s="10">
        <f t="shared" ca="1" si="11"/>
        <v>29</v>
      </c>
      <c r="E114" s="17">
        <f t="shared" ca="1" si="16"/>
        <v>279629.85342140403</v>
      </c>
      <c r="F114" s="17">
        <f t="shared" ca="1" si="15"/>
        <v>15361.227958432815</v>
      </c>
      <c r="G114" s="17">
        <f ca="1">IF(C114=" "," ",IF(C114=$D$12,$D$4-SUM($G$21:G113),($D$13-H114)))</f>
        <v>7379.9951821957266</v>
      </c>
      <c r="H114" s="17">
        <f t="shared" ca="1" si="14"/>
        <v>7981.2327762370887</v>
      </c>
      <c r="I114" s="10">
        <f t="shared" ca="1" si="13"/>
        <v>0</v>
      </c>
      <c r="Q114" s="32"/>
      <c r="U114" s="31" t="str">
        <f ca="1">IF(B113=$D$3,XIRR($F$20:F113,$C$20:C113)," ")</f>
        <v xml:space="preserve"> </v>
      </c>
    </row>
    <row r="115" spans="2:21" x14ac:dyDescent="0.25">
      <c r="B115" s="10">
        <f t="shared" ca="1" si="10"/>
        <v>95</v>
      </c>
      <c r="C115" s="28">
        <f t="shared" ca="1" si="12"/>
        <v>48332</v>
      </c>
      <c r="D115" s="10">
        <f t="shared" ca="1" si="11"/>
        <v>31</v>
      </c>
      <c r="E115" s="17">
        <f t="shared" ca="1" si="16"/>
        <v>272580.91014686774</v>
      </c>
      <c r="F115" s="17">
        <f t="shared" ca="1" si="15"/>
        <v>15361.227958432815</v>
      </c>
      <c r="G115" s="17">
        <f ca="1">IF(C115=" "," ",IF(C115=$D$12,$D$4-SUM($G$21:G114),($D$13-H115)))</f>
        <v>7048.9432745362847</v>
      </c>
      <c r="H115" s="17">
        <f t="shared" ca="1" si="14"/>
        <v>8312.2846838965306</v>
      </c>
      <c r="I115" s="10">
        <f t="shared" ca="1" si="13"/>
        <v>0</v>
      </c>
      <c r="Q115" s="32"/>
      <c r="U115" s="31" t="str">
        <f ca="1">IF(B114=$D$3,XIRR($F$20:F114,$C$20:C114)," ")</f>
        <v xml:space="preserve"> </v>
      </c>
    </row>
    <row r="116" spans="2:21" x14ac:dyDescent="0.25">
      <c r="B116" s="10">
        <f t="shared" ca="1" si="10"/>
        <v>96</v>
      </c>
      <c r="C116" s="28">
        <f t="shared" ca="1" si="12"/>
        <v>48362</v>
      </c>
      <c r="D116" s="10">
        <f t="shared" ca="1" si="11"/>
        <v>30</v>
      </c>
      <c r="E116" s="17">
        <f t="shared" ca="1" si="16"/>
        <v>265061.05083649553</v>
      </c>
      <c r="F116" s="17">
        <f t="shared" ca="1" si="15"/>
        <v>15361.227958432815</v>
      </c>
      <c r="G116" s="17">
        <f ca="1">IF(C116=" "," ",IF(C116=$D$12,$D$4-SUM($G$21:G115),($D$13-H116)))</f>
        <v>7519.8593103722369</v>
      </c>
      <c r="H116" s="17">
        <f t="shared" ca="1" si="14"/>
        <v>7841.3686480605784</v>
      </c>
      <c r="I116" s="10">
        <f t="shared" ca="1" si="13"/>
        <v>0</v>
      </c>
      <c r="Q116" s="32"/>
      <c r="U116" s="31" t="str">
        <f ca="1">IF(B115=$D$3,XIRR($F$20:F115,$C$20:C115)," ")</f>
        <v xml:space="preserve"> </v>
      </c>
    </row>
    <row r="117" spans="2:21" x14ac:dyDescent="0.25">
      <c r="B117" s="10">
        <f t="shared" ca="1" si="10"/>
        <v>97</v>
      </c>
      <c r="C117" s="28">
        <f t="shared" ca="1" si="12"/>
        <v>48393</v>
      </c>
      <c r="D117" s="10">
        <f t="shared" ca="1" si="11"/>
        <v>31</v>
      </c>
      <c r="E117" s="17">
        <f t="shared" ca="1" si="16"/>
        <v>257579.03493717499</v>
      </c>
      <c r="F117" s="17">
        <f t="shared" ca="1" si="15"/>
        <v>17861.227958432813</v>
      </c>
      <c r="G117" s="17">
        <f ca="1">IF(C117=" "," ",IF(C117=$D$12,$D$4-SUM($G$21:G116),($D$13-H117)))</f>
        <v>7482.0158993205523</v>
      </c>
      <c r="H117" s="17">
        <f t="shared" ca="1" si="14"/>
        <v>7879.212059112263</v>
      </c>
      <c r="I117" s="10">
        <f t="shared" ca="1" si="13"/>
        <v>0</v>
      </c>
      <c r="Q117" s="32">
        <f ca="1">IF(B117=" "," ",$D$10*$D$9+$D$11*E117)</f>
        <v>2500</v>
      </c>
      <c r="U117" s="31" t="str">
        <f ca="1">IF(B116=$D$3,XIRR($F$20:F116,$C$20:C116)," ")</f>
        <v xml:space="preserve"> </v>
      </c>
    </row>
    <row r="118" spans="2:21" x14ac:dyDescent="0.25">
      <c r="B118" s="10">
        <f t="shared" ca="1" si="10"/>
        <v>98</v>
      </c>
      <c r="C118" s="28">
        <f t="shared" ca="1" si="12"/>
        <v>48423</v>
      </c>
      <c r="D118" s="10">
        <f t="shared" ca="1" si="11"/>
        <v>30</v>
      </c>
      <c r="E118" s="17">
        <f t="shared" ca="1" si="16"/>
        <v>249627.61483309927</v>
      </c>
      <c r="F118" s="17">
        <f t="shared" ca="1" si="15"/>
        <v>15361.227958432815</v>
      </c>
      <c r="G118" s="17">
        <f ca="1">IF(C118=" "," ",IF(C118=$D$12,$D$4-SUM($G$21:G117),($D$13-H118)))</f>
        <v>7951.420104075728</v>
      </c>
      <c r="H118" s="17">
        <f t="shared" ca="1" si="14"/>
        <v>7409.8078543570873</v>
      </c>
      <c r="I118" s="10">
        <f t="shared" ca="1" si="13"/>
        <v>0</v>
      </c>
      <c r="Q118" s="32"/>
      <c r="U118" s="31" t="str">
        <f ca="1">IF(B117=$D$3,XIRR($F$20:F117,$C$20:C117)," ")</f>
        <v xml:space="preserve"> </v>
      </c>
    </row>
    <row r="119" spans="2:21" x14ac:dyDescent="0.25">
      <c r="B119" s="10">
        <f t="shared" ca="1" si="10"/>
        <v>99</v>
      </c>
      <c r="C119" s="28">
        <f t="shared" ca="1" si="12"/>
        <v>48454</v>
      </c>
      <c r="D119" s="10">
        <f t="shared" ca="1" si="11"/>
        <v>31</v>
      </c>
      <c r="E119" s="17">
        <f t="shared" ca="1" si="16"/>
        <v>241686.82419230789</v>
      </c>
      <c r="F119" s="17">
        <f t="shared" ca="1" si="15"/>
        <v>15361.227958432815</v>
      </c>
      <c r="G119" s="17">
        <f ca="1">IF(C119=" "," ",IF(C119=$D$12,$D$4-SUM($G$21:G118),($D$13-H119)))</f>
        <v>7940.7906407913706</v>
      </c>
      <c r="H119" s="17">
        <f t="shared" ca="1" si="14"/>
        <v>7420.4373176414447</v>
      </c>
      <c r="I119" s="10">
        <f t="shared" ca="1" si="13"/>
        <v>0</v>
      </c>
      <c r="Q119" s="32"/>
      <c r="U119" s="31" t="str">
        <f ca="1">IF(B118=$D$3,XIRR($F$20:F118,$C$20:C118)," ")</f>
        <v xml:space="preserve"> </v>
      </c>
    </row>
    <row r="120" spans="2:21" x14ac:dyDescent="0.25">
      <c r="B120" s="10">
        <f t="shared" ca="1" si="10"/>
        <v>100</v>
      </c>
      <c r="C120" s="28">
        <f t="shared" ca="1" si="12"/>
        <v>48485</v>
      </c>
      <c r="D120" s="10">
        <f t="shared" ca="1" si="11"/>
        <v>31</v>
      </c>
      <c r="E120" s="17">
        <f t="shared" ca="1" si="16"/>
        <v>233509.98539137244</v>
      </c>
      <c r="F120" s="17">
        <f t="shared" ca="1" si="15"/>
        <v>15361.227958432815</v>
      </c>
      <c r="G120" s="17">
        <f ca="1">IF(C120=" "," ",IF(C120=$D$12,$D$4-SUM($G$21:G119),($D$13-H120)))</f>
        <v>8176.8388009354439</v>
      </c>
      <c r="H120" s="17">
        <f t="shared" ca="1" si="14"/>
        <v>7184.3891574973713</v>
      </c>
      <c r="I120" s="10">
        <f t="shared" ca="1" si="13"/>
        <v>0</v>
      </c>
      <c r="Q120" s="32"/>
      <c r="U120" s="31" t="str">
        <f ca="1">IF(B119=$D$3,XIRR($F$20:F119,$C$20:C119)," ")</f>
        <v xml:space="preserve"> </v>
      </c>
    </row>
    <row r="121" spans="2:21" x14ac:dyDescent="0.25">
      <c r="B121" s="10">
        <f t="shared" ca="1" si="10"/>
        <v>101</v>
      </c>
      <c r="C121" s="28">
        <f t="shared" ca="1" si="12"/>
        <v>48515</v>
      </c>
      <c r="D121" s="10">
        <f t="shared" ca="1" si="11"/>
        <v>30</v>
      </c>
      <c r="E121" s="17">
        <f t="shared" ca="1" si="16"/>
        <v>224866.16797159554</v>
      </c>
      <c r="F121" s="17">
        <f t="shared" ca="1" si="15"/>
        <v>15361.227958432815</v>
      </c>
      <c r="G121" s="17">
        <f ca="1">IF(C121=" "," ",IF(C121=$D$12,$D$4-SUM($G$21:G120),($D$13-H121)))</f>
        <v>8643.8174197768967</v>
      </c>
      <c r="H121" s="17">
        <f t="shared" ca="1" si="14"/>
        <v>6717.4105386559186</v>
      </c>
      <c r="I121" s="10">
        <f t="shared" ca="1" si="13"/>
        <v>0</v>
      </c>
      <c r="Q121" s="32"/>
      <c r="U121" s="31" t="str">
        <f ca="1">IF(B120=$D$3,XIRR($F$20:F120,$C$20:C120)," ")</f>
        <v xml:space="preserve"> </v>
      </c>
    </row>
    <row r="122" spans="2:21" x14ac:dyDescent="0.25">
      <c r="B122" s="10">
        <f t="shared" ref="B122:B140" ca="1" si="17">IF(C122 =" "," ",B121+1)</f>
        <v>102</v>
      </c>
      <c r="C122" s="28">
        <f t="shared" ca="1" si="12"/>
        <v>48546</v>
      </c>
      <c r="D122" s="10">
        <f t="shared" ref="D122:D140" ca="1" si="18">IF(C122=" "," ",(C122-C121))</f>
        <v>31</v>
      </c>
      <c r="E122" s="17">
        <f t="shared" ca="1" si="16"/>
        <v>216189.3178830033</v>
      </c>
      <c r="F122" s="17">
        <f t="shared" ca="1" si="15"/>
        <v>15361.227958432815</v>
      </c>
      <c r="G122" s="17">
        <f ca="1">IF(C122=" "," ",IF(C122=$D$12,$D$4-SUM($G$21:G121),($D$13-H122)))</f>
        <v>8676.8500885922367</v>
      </c>
      <c r="H122" s="17">
        <f t="shared" ca="1" si="14"/>
        <v>6684.3778698405786</v>
      </c>
      <c r="I122" s="10">
        <f t="shared" ca="1" si="13"/>
        <v>0</v>
      </c>
      <c r="Q122" s="32"/>
      <c r="U122" s="31" t="str">
        <f ca="1">IF(B121=$D$3,XIRR($F$20:F121,$C$20:C121)," ")</f>
        <v xml:space="preserve"> </v>
      </c>
    </row>
    <row r="123" spans="2:21" x14ac:dyDescent="0.25">
      <c r="B123" s="10">
        <f t="shared" ca="1" si="17"/>
        <v>103</v>
      </c>
      <c r="C123" s="28">
        <f t="shared" ca="1" si="12"/>
        <v>48576</v>
      </c>
      <c r="D123" s="10">
        <f t="shared" ca="1" si="18"/>
        <v>30</v>
      </c>
      <c r="E123" s="17">
        <f t="shared" ca="1" si="16"/>
        <v>207047.2346855884</v>
      </c>
      <c r="F123" s="17">
        <f t="shared" ca="1" si="15"/>
        <v>15361.227958432815</v>
      </c>
      <c r="G123" s="17">
        <f ca="1">IF(C123=" "," ",IF(C123=$D$12,$D$4-SUM($G$21:G122),($D$13-H123)))</f>
        <v>9142.0831974149114</v>
      </c>
      <c r="H123" s="17">
        <f t="shared" ca="1" si="14"/>
        <v>6219.1447610179039</v>
      </c>
      <c r="I123" s="10">
        <f t="shared" ca="1" si="13"/>
        <v>0</v>
      </c>
      <c r="Q123" s="32"/>
      <c r="U123" s="31" t="str">
        <f ca="1">IF(B122=$D$3,XIRR($F$20:F122,$C$20:C122)," ")</f>
        <v xml:space="preserve"> </v>
      </c>
    </row>
    <row r="124" spans="2:21" x14ac:dyDescent="0.25">
      <c r="B124" s="10">
        <f t="shared" ca="1" si="17"/>
        <v>104</v>
      </c>
      <c r="C124" s="28">
        <f t="shared" ca="1" si="12"/>
        <v>48607</v>
      </c>
      <c r="D124" s="10">
        <f t="shared" ca="1" si="18"/>
        <v>31</v>
      </c>
      <c r="E124" s="17">
        <f t="shared" ca="1" si="16"/>
        <v>197840.69849794635</v>
      </c>
      <c r="F124" s="17">
        <f t="shared" ca="1" si="15"/>
        <v>15361.227958432815</v>
      </c>
      <c r="G124" s="17">
        <f ca="1">IF(C124=" "," ",IF(C124=$D$12,$D$4-SUM($G$21:G123),($D$13-H124)))</f>
        <v>9206.5361876420375</v>
      </c>
      <c r="H124" s="17">
        <f t="shared" ca="1" si="14"/>
        <v>6154.6917707907778</v>
      </c>
      <c r="I124" s="10">
        <f t="shared" ca="1" si="13"/>
        <v>0</v>
      </c>
      <c r="Q124" s="32"/>
      <c r="U124" s="31" t="str">
        <f ca="1">IF(B123=$D$3,XIRR($F$20:F123,$C$20:C123)," ")</f>
        <v xml:space="preserve"> </v>
      </c>
    </row>
    <row r="125" spans="2:21" x14ac:dyDescent="0.25">
      <c r="B125" s="10">
        <f t="shared" ca="1" si="17"/>
        <v>105</v>
      </c>
      <c r="C125" s="28">
        <f t="shared" ca="1" si="12"/>
        <v>48638</v>
      </c>
      <c r="D125" s="10">
        <f t="shared" ca="1" si="18"/>
        <v>31</v>
      </c>
      <c r="E125" s="17">
        <f t="shared" ca="1" si="16"/>
        <v>188360.4885633566</v>
      </c>
      <c r="F125" s="17">
        <f t="shared" ca="1" si="15"/>
        <v>15361.227958432813</v>
      </c>
      <c r="G125" s="17">
        <f ca="1">IF(C125=" "," ",IF(C125=$D$12,$D$4-SUM($G$21:G124),($D$13-H125)))</f>
        <v>9480.2099345897514</v>
      </c>
      <c r="H125" s="17">
        <f t="shared" ca="1" si="14"/>
        <v>5881.018023843063</v>
      </c>
      <c r="I125" s="10">
        <f t="shared" ca="1" si="13"/>
        <v>0</v>
      </c>
      <c r="Q125" s="32"/>
      <c r="U125" s="31" t="str">
        <f ca="1">IF(B124=$D$3,XIRR($F$20:F124,$C$20:C124)," ")</f>
        <v xml:space="preserve"> </v>
      </c>
    </row>
    <row r="126" spans="2:21" x14ac:dyDescent="0.25">
      <c r="B126" s="10">
        <f t="shared" ca="1" si="17"/>
        <v>106</v>
      </c>
      <c r="C126" s="28">
        <f t="shared" ca="1" si="12"/>
        <v>48666</v>
      </c>
      <c r="D126" s="10">
        <f t="shared" ca="1" si="18"/>
        <v>28</v>
      </c>
      <c r="E126" s="17">
        <f t="shared" ca="1" si="16"/>
        <v>178056.61070881665</v>
      </c>
      <c r="F126" s="17">
        <f t="shared" ca="1" si="15"/>
        <v>15361.227958432817</v>
      </c>
      <c r="G126" s="17">
        <f ca="1">IF(C126=" "," ",IF(C126=$D$12,$D$4-SUM($G$21:G125),($D$13-H126)))</f>
        <v>10303.877854539955</v>
      </c>
      <c r="H126" s="17">
        <f t="shared" ca="1" si="14"/>
        <v>5057.3501038928616</v>
      </c>
      <c r="I126" s="10">
        <f t="shared" ca="1" si="13"/>
        <v>0</v>
      </c>
      <c r="Q126" s="32"/>
      <c r="U126" s="31" t="str">
        <f ca="1">IF(B125=$D$3,XIRR($F$20:F125,$C$20:C125)," ")</f>
        <v xml:space="preserve"> </v>
      </c>
    </row>
    <row r="127" spans="2:21" x14ac:dyDescent="0.25">
      <c r="B127" s="10">
        <f t="shared" ca="1" si="17"/>
        <v>107</v>
      </c>
      <c r="C127" s="28">
        <f t="shared" ca="1" si="12"/>
        <v>48697</v>
      </c>
      <c r="D127" s="10">
        <f t="shared" ca="1" si="18"/>
        <v>31</v>
      </c>
      <c r="E127" s="17">
        <f t="shared" ca="1" si="16"/>
        <v>167988.29843857742</v>
      </c>
      <c r="F127" s="17">
        <f t="shared" ca="1" si="15"/>
        <v>15361.227958432815</v>
      </c>
      <c r="G127" s="17">
        <f ca="1">IF(C127=" "," ",IF(C127=$D$12,$D$4-SUM($G$21:G126),($D$13-H127)))</f>
        <v>10068.312270239225</v>
      </c>
      <c r="H127" s="17">
        <f t="shared" ca="1" si="14"/>
        <v>5292.9156881935905</v>
      </c>
      <c r="I127" s="10">
        <f t="shared" ca="1" si="13"/>
        <v>0</v>
      </c>
      <c r="Q127" s="32"/>
      <c r="U127" s="31" t="str">
        <f ca="1">IF(B126=$D$3,XIRR($F$20:F126,$C$20:C126)," ")</f>
        <v xml:space="preserve"> </v>
      </c>
    </row>
    <row r="128" spans="2:21" x14ac:dyDescent="0.25">
      <c r="B128" s="10">
        <f t="shared" ca="1" si="17"/>
        <v>108</v>
      </c>
      <c r="C128" s="28">
        <f t="shared" ca="1" si="12"/>
        <v>48727</v>
      </c>
      <c r="D128" s="10">
        <f t="shared" ca="1" si="18"/>
        <v>30</v>
      </c>
      <c r="E128" s="17">
        <f t="shared" ca="1" si="16"/>
        <v>157459.61057221328</v>
      </c>
      <c r="F128" s="17">
        <f t="shared" ca="1" si="15"/>
        <v>15361.227958432817</v>
      </c>
      <c r="G128" s="17">
        <f ca="1">IF(C128=" "," ",IF(C128=$D$12,$D$4-SUM($G$21:G127),($D$13-H128)))</f>
        <v>10528.687866364151</v>
      </c>
      <c r="H128" s="17">
        <f t="shared" ca="1" si="14"/>
        <v>4832.5400920686652</v>
      </c>
      <c r="I128" s="10">
        <f t="shared" ca="1" si="13"/>
        <v>0</v>
      </c>
      <c r="Q128" s="32"/>
      <c r="U128" s="31" t="str">
        <f ca="1">IF(B127=$D$3,XIRR($F$20:F127,$C$20:C127)," ")</f>
        <v xml:space="preserve"> </v>
      </c>
    </row>
    <row r="129" spans="2:21" x14ac:dyDescent="0.25">
      <c r="B129" s="10">
        <f t="shared" ca="1" si="17"/>
        <v>109</v>
      </c>
      <c r="C129" s="28">
        <f t="shared" ca="1" si="12"/>
        <v>48758</v>
      </c>
      <c r="D129" s="10">
        <f t="shared" ca="1" si="18"/>
        <v>31</v>
      </c>
      <c r="E129" s="17">
        <f t="shared" ca="1" si="16"/>
        <v>146779.03131161199</v>
      </c>
      <c r="F129" s="17">
        <f t="shared" ca="1" si="15"/>
        <v>17861.227958432813</v>
      </c>
      <c r="G129" s="17">
        <f ca="1">IF(C129=" "," ",IF(C129=$D$12,$D$4-SUM($G$21:G128),($D$13-H129)))</f>
        <v>10680.579260601269</v>
      </c>
      <c r="H129" s="17">
        <f t="shared" ca="1" si="14"/>
        <v>4680.6486978315452</v>
      </c>
      <c r="I129" s="10">
        <f t="shared" ca="1" si="13"/>
        <v>0</v>
      </c>
      <c r="Q129" s="32">
        <f ca="1">IF(B129=" "," ",$D$10*$D$9+$D$11*E129)</f>
        <v>2500</v>
      </c>
      <c r="U129" s="31" t="str">
        <f ca="1">IF(B128=$D$3,XIRR($F$20:F128,$C$20:C128)," ")</f>
        <v xml:space="preserve"> </v>
      </c>
    </row>
    <row r="130" spans="2:21" x14ac:dyDescent="0.25">
      <c r="B130" s="10">
        <f t="shared" ca="1" si="17"/>
        <v>110</v>
      </c>
      <c r="C130" s="28">
        <f t="shared" ca="1" si="12"/>
        <v>48788</v>
      </c>
      <c r="D130" s="10">
        <f t="shared" ca="1" si="18"/>
        <v>30</v>
      </c>
      <c r="E130" s="17">
        <f t="shared" ca="1" si="16"/>
        <v>135640.21384296528</v>
      </c>
      <c r="F130" s="17">
        <f t="shared" ca="1" si="15"/>
        <v>15361.227958432817</v>
      </c>
      <c r="G130" s="17">
        <f ca="1">IF(C130=" "," ",IF(C130=$D$12,$D$4-SUM($G$21:G129),($D$13-H130)))</f>
        <v>11138.817468646717</v>
      </c>
      <c r="H130" s="17">
        <f t="shared" ca="1" si="14"/>
        <v>4222.4104897860989</v>
      </c>
      <c r="I130" s="10">
        <f t="shared" ca="1" si="13"/>
        <v>0</v>
      </c>
      <c r="Q130" s="32"/>
      <c r="U130" s="31" t="str">
        <f ca="1">IF(B129=$D$3,XIRR($F$20:F129,$C$20:C129)," ")</f>
        <v xml:space="preserve"> </v>
      </c>
    </row>
    <row r="131" spans="2:21" x14ac:dyDescent="0.25">
      <c r="B131" s="10">
        <f t="shared" ca="1" si="17"/>
        <v>111</v>
      </c>
      <c r="C131" s="28">
        <f t="shared" ca="1" si="12"/>
        <v>48819</v>
      </c>
      <c r="D131" s="10">
        <f t="shared" ca="1" si="18"/>
        <v>31</v>
      </c>
      <c r="E131" s="17">
        <f t="shared" ca="1" si="16"/>
        <v>124311.0305973987</v>
      </c>
      <c r="F131" s="17">
        <f t="shared" ca="1" si="15"/>
        <v>15361.227958432815</v>
      </c>
      <c r="G131" s="17">
        <f ca="1">IF(C131=" "," ",IF(C131=$D$12,$D$4-SUM($G$21:G130),($D$13-H131)))</f>
        <v>11329.183245566588</v>
      </c>
      <c r="H131" s="17">
        <f t="shared" ca="1" si="14"/>
        <v>4032.0447128662277</v>
      </c>
      <c r="I131" s="10">
        <f t="shared" ca="1" si="13"/>
        <v>0</v>
      </c>
      <c r="Q131" s="32"/>
      <c r="U131" s="31" t="str">
        <f ca="1">IF(B130=$D$3,XIRR($F$20:F130,$C$20:C130)," ")</f>
        <v xml:space="preserve"> </v>
      </c>
    </row>
    <row r="132" spans="2:21" x14ac:dyDescent="0.25">
      <c r="B132" s="10">
        <f t="shared" ca="1" si="17"/>
        <v>112</v>
      </c>
      <c r="C132" s="28">
        <f t="shared" ca="1" si="12"/>
        <v>48850</v>
      </c>
      <c r="D132" s="10">
        <f t="shared" ca="1" si="18"/>
        <v>31</v>
      </c>
      <c r="E132" s="17">
        <f t="shared" ca="1" si="16"/>
        <v>112645.07574028581</v>
      </c>
      <c r="F132" s="17">
        <f t="shared" ca="1" si="15"/>
        <v>15361.227958432815</v>
      </c>
      <c r="G132" s="17">
        <f ca="1">IF(C132=" "," ",IF(C132=$D$12,$D$4-SUM($G$21:G131),($D$13-H132)))</f>
        <v>11665.954857112882</v>
      </c>
      <c r="H132" s="17">
        <f t="shared" ca="1" si="14"/>
        <v>3695.2731013199332</v>
      </c>
      <c r="I132" s="10">
        <f t="shared" ca="1" si="13"/>
        <v>0</v>
      </c>
      <c r="Q132" s="32"/>
      <c r="U132" s="31" t="str">
        <f ca="1">IF(B131=$D$3,XIRR($F$20:F131,$C$20:C131)," ")</f>
        <v xml:space="preserve"> </v>
      </c>
    </row>
    <row r="133" spans="2:21" x14ac:dyDescent="0.25">
      <c r="B133" s="10">
        <f t="shared" ca="1" si="17"/>
        <v>113</v>
      </c>
      <c r="C133" s="28">
        <f t="shared" ca="1" si="12"/>
        <v>48880</v>
      </c>
      <c r="D133" s="10">
        <f t="shared" ca="1" si="18"/>
        <v>30</v>
      </c>
      <c r="E133" s="17">
        <f t="shared" ca="1" si="16"/>
        <v>100524.32256342287</v>
      </c>
      <c r="F133" s="17">
        <f t="shared" ca="1" si="15"/>
        <v>15361.227958432815</v>
      </c>
      <c r="G133" s="17">
        <f ca="1">IF(C133=" "," ",IF(C133=$D$12,$D$4-SUM($G$21:G132),($D$13-H133)))</f>
        <v>12120.753176862949</v>
      </c>
      <c r="H133" s="17">
        <f t="shared" ca="1" si="14"/>
        <v>3240.4747815698661</v>
      </c>
      <c r="I133" s="10">
        <f t="shared" ca="1" si="13"/>
        <v>0</v>
      </c>
      <c r="U133" s="31" t="str">
        <f ca="1">IF(B132=$D$3,XIRR($F$20:F132,$C$20:C132)," ")</f>
        <v xml:space="preserve"> </v>
      </c>
    </row>
    <row r="134" spans="2:21" x14ac:dyDescent="0.25">
      <c r="B134" s="10">
        <f t="shared" ca="1" si="17"/>
        <v>114</v>
      </c>
      <c r="C134" s="28">
        <f t="shared" ca="1" si="12"/>
        <v>48911</v>
      </c>
      <c r="D134" s="10">
        <f t="shared" ca="1" si="18"/>
        <v>31</v>
      </c>
      <c r="E134" s="17">
        <f t="shared" ca="1" si="16"/>
        <v>88151.283371601399</v>
      </c>
      <c r="F134" s="17">
        <f t="shared" ca="1" si="15"/>
        <v>15361.227958432815</v>
      </c>
      <c r="G134" s="17">
        <f ca="1">IF(C134=" "," ",IF(C134=$D$12,$D$4-SUM($G$21:G133),($D$13-H134)))</f>
        <v>12373.039191821479</v>
      </c>
      <c r="H134" s="17">
        <f t="shared" ca="1" si="14"/>
        <v>2988.1887666113366</v>
      </c>
      <c r="I134" s="10">
        <f t="shared" ca="1" si="13"/>
        <v>0</v>
      </c>
      <c r="U134" s="31" t="str">
        <f ca="1">IF(B133=$D$3,XIRR($F$20:F133,$C$20:C133)," ")</f>
        <v xml:space="preserve"> </v>
      </c>
    </row>
    <row r="135" spans="2:21" x14ac:dyDescent="0.25">
      <c r="B135" s="10">
        <f t="shared" ca="1" si="17"/>
        <v>115</v>
      </c>
      <c r="C135" s="28">
        <f t="shared" ca="1" si="12"/>
        <v>48941</v>
      </c>
      <c r="D135" s="10">
        <f t="shared" ca="1" si="18"/>
        <v>30</v>
      </c>
      <c r="E135" s="17">
        <f t="shared" ca="1" si="16"/>
        <v>75325.914249885886</v>
      </c>
      <c r="F135" s="17">
        <f t="shared" ca="1" si="15"/>
        <v>15361.227958432813</v>
      </c>
      <c r="G135" s="17">
        <f ca="1">IF(C135=" "," ",IF(C135=$D$12,$D$4-SUM($G$21:G134),($D$13-H135)))</f>
        <v>12825.369121715514</v>
      </c>
      <c r="H135" s="17">
        <f t="shared" ca="1" si="14"/>
        <v>2535.8588367173006</v>
      </c>
      <c r="I135" s="10">
        <f t="shared" ca="1" si="13"/>
        <v>0</v>
      </c>
      <c r="U135" s="31" t="str">
        <f ca="1">IF(B134=$D$3,XIRR($F$20:F134,$C$20:C134)," ")</f>
        <v xml:space="preserve"> </v>
      </c>
    </row>
    <row r="136" spans="2:21" x14ac:dyDescent="0.25">
      <c r="B136" s="10">
        <f t="shared" ca="1" si="17"/>
        <v>116</v>
      </c>
      <c r="C136" s="28">
        <f t="shared" ca="1" si="12"/>
        <v>48972</v>
      </c>
      <c r="D136" s="10">
        <f t="shared" ca="1" si="18"/>
        <v>31</v>
      </c>
      <c r="E136" s="17">
        <f t="shared" ca="1" si="16"/>
        <v>62203.826482168857</v>
      </c>
      <c r="F136" s="17">
        <f t="shared" ca="1" si="15"/>
        <v>15361.227958432815</v>
      </c>
      <c r="G136" s="17">
        <f ca="1">IF(C136=" "," ",IF(C136=$D$12,$D$4-SUM($G$21:G135),($D$13-H136)))</f>
        <v>13122.08776771703</v>
      </c>
      <c r="H136" s="17">
        <f t="shared" ca="1" si="14"/>
        <v>2239.1401907157856</v>
      </c>
      <c r="I136" s="10">
        <f t="shared" ca="1" si="13"/>
        <v>0</v>
      </c>
      <c r="U136" s="31" t="str">
        <f ca="1">IF(B135=$D$3,XIRR($F$20:F135,$C$20:C135)," ")</f>
        <v xml:space="preserve"> </v>
      </c>
    </row>
    <row r="137" spans="2:21" x14ac:dyDescent="0.25">
      <c r="B137" s="10">
        <f t="shared" ca="1" si="17"/>
        <v>117</v>
      </c>
      <c r="C137" s="28">
        <f t="shared" ca="1" si="12"/>
        <v>49003</v>
      </c>
      <c r="D137" s="10">
        <f t="shared" ca="1" si="18"/>
        <v>31</v>
      </c>
      <c r="E137" s="17">
        <f t="shared" ca="1" si="16"/>
        <v>48691.671173959418</v>
      </c>
      <c r="F137" s="17">
        <f t="shared" ca="1" si="15"/>
        <v>15361.227958432815</v>
      </c>
      <c r="G137" s="17">
        <f ca="1">IF(C137=" "," ",IF(C137=$D$12,$D$4-SUM($G$21:G136),($D$13-H137)))</f>
        <v>13512.15530820944</v>
      </c>
      <c r="H137" s="17">
        <f t="shared" ca="1" si="14"/>
        <v>1849.0726502233756</v>
      </c>
      <c r="I137" s="10">
        <f t="shared" ca="1" si="13"/>
        <v>0</v>
      </c>
      <c r="U137" s="31" t="str">
        <f ca="1">IF(B136=$D$3,XIRR($F$20:F136,$C$20:C136)," ")</f>
        <v xml:space="preserve"> </v>
      </c>
    </row>
    <row r="138" spans="2:21" x14ac:dyDescent="0.25">
      <c r="B138" s="10">
        <f t="shared" ca="1" si="17"/>
        <v>118</v>
      </c>
      <c r="C138" s="28">
        <f t="shared" ca="1" si="12"/>
        <v>49031</v>
      </c>
      <c r="D138" s="10">
        <f t="shared" ca="1" si="18"/>
        <v>28</v>
      </c>
      <c r="E138" s="17">
        <f t="shared" ca="1" si="16"/>
        <v>34637.7812360877</v>
      </c>
      <c r="F138" s="17">
        <f t="shared" ca="1" si="15"/>
        <v>15361.227958432817</v>
      </c>
      <c r="G138" s="17">
        <f ca="1">IF(C138=" "," ",IF(C138=$D$12,$D$4-SUM($G$21:G137),($D$13-H138)))</f>
        <v>14053.889937871714</v>
      </c>
      <c r="H138" s="17">
        <f t="shared" ca="1" si="14"/>
        <v>1307.338020561102</v>
      </c>
      <c r="I138" s="10">
        <f t="shared" ca="1" si="13"/>
        <v>0</v>
      </c>
      <c r="U138" s="31" t="str">
        <f ca="1">IF(B137=$D$3,XIRR($F$20:F137,$C$20:C137)," ")</f>
        <v xml:space="preserve"> </v>
      </c>
    </row>
    <row r="139" spans="2:21" x14ac:dyDescent="0.25">
      <c r="B139" s="10">
        <f t="shared" ca="1" si="17"/>
        <v>119</v>
      </c>
      <c r="C139" s="28">
        <f t="shared" ca="1" si="12"/>
        <v>49062</v>
      </c>
      <c r="D139" s="10">
        <f t="shared" ca="1" si="18"/>
        <v>31</v>
      </c>
      <c r="E139" s="17">
        <f t="shared" ca="1" si="16"/>
        <v>20306.196911659135</v>
      </c>
      <c r="F139" s="17">
        <f t="shared" ca="1" si="15"/>
        <v>15361.227958432815</v>
      </c>
      <c r="G139" s="17">
        <f ca="1">IF(C139=" "," ",IF(C139=$D$12,$D$4-SUM($G$21:G138),($D$13-H139)))</f>
        <v>14331.584324428564</v>
      </c>
      <c r="H139" s="17">
        <f t="shared" ca="1" si="14"/>
        <v>1029.6436340042505</v>
      </c>
      <c r="I139" s="10">
        <f t="shared" ca="1" si="13"/>
        <v>0</v>
      </c>
      <c r="U139" s="31" t="str">
        <f ca="1">IF(B138=$D$3,XIRR($F$20:F138,$C$20:C138)," ")</f>
        <v xml:space="preserve"> </v>
      </c>
    </row>
    <row r="140" spans="2:21" x14ac:dyDescent="0.25">
      <c r="B140" s="10">
        <f t="shared" ca="1" si="17"/>
        <v>120</v>
      </c>
      <c r="C140" s="28">
        <f t="shared" ca="1" si="12"/>
        <v>49092</v>
      </c>
      <c r="D140" s="10">
        <f t="shared" ca="1" si="18"/>
        <v>30</v>
      </c>
      <c r="E140" s="17">
        <f t="shared" ca="1" si="16"/>
        <v>5529.1198232877468</v>
      </c>
      <c r="F140" s="17">
        <f t="shared" ca="1" si="15"/>
        <v>15361.227958432815</v>
      </c>
      <c r="G140" s="17">
        <f ca="1">IF(C140=" "," ",IF(C140=$D$12,$D$4-SUM($G$21:G139),($D$13-H140)))</f>
        <v>14777.077088371389</v>
      </c>
      <c r="H140" s="17">
        <f t="shared" ca="1" si="14"/>
        <v>584.15087006142721</v>
      </c>
      <c r="I140" s="10">
        <f t="shared" ca="1" si="13"/>
        <v>0</v>
      </c>
      <c r="U140" s="31" t="str">
        <f ca="1">IF(B139=$D$3,XIRR($F$20:F139,$C$20:C139)," ")</f>
        <v xml:space="preserve"> </v>
      </c>
    </row>
    <row r="141" spans="2:21" x14ac:dyDescent="0.25">
      <c r="U141" s="31">
        <f ca="1">IF(B140=$D$3,XIRR($F$20:F140,$C$20:C140)," ")</f>
        <v>0.45493668913841256</v>
      </c>
    </row>
    <row r="142" spans="2:21" x14ac:dyDescent="0.25">
      <c r="U142" s="31" t="str">
        <f>IF(B141=$D$3,XIRR($F$20:F141,$C$20:C141)," ")</f>
        <v xml:space="preserve"> </v>
      </c>
    </row>
    <row r="143" spans="2:21" x14ac:dyDescent="0.25">
      <c r="U143" s="31" t="str">
        <f>IF(B142=$D$3,XIRR($F$20:F142,$C$20:C142)," ")</f>
        <v xml:space="preserve"> </v>
      </c>
    </row>
    <row r="144" spans="2:21" x14ac:dyDescent="0.25">
      <c r="U144" s="31" t="str">
        <f>IF(B143=$D$3,XIRR($F$20:F143,$C$20:C143)," ")</f>
        <v xml:space="preserve"> </v>
      </c>
    </row>
  </sheetData>
  <sheetProtection algorithmName="SHA-512" hashValue="2fcXQ44BSaSI0+WTdHQ4BhrpeEFeT55DYi+Y4vGrUd1WW/DVRVxVH594C22TNQnrfzAaxHUnUbRkfzd305nauA==" saltValue="zPXeBZhvZFFEY7GKDShaRg==" spinCount="100000" sheet="1" objects="1" scenarios="1"/>
  <mergeCells count="27">
    <mergeCell ref="D15:D18"/>
    <mergeCell ref="E15:E18"/>
    <mergeCell ref="F15:F18"/>
    <mergeCell ref="G15:R15"/>
    <mergeCell ref="S15:S18"/>
    <mergeCell ref="T15:T18"/>
    <mergeCell ref="G16:G18"/>
    <mergeCell ref="H16:H18"/>
    <mergeCell ref="I16:R16"/>
    <mergeCell ref="I17:L17"/>
    <mergeCell ref="M17:N17"/>
    <mergeCell ref="O17:R17"/>
    <mergeCell ref="B15:B18"/>
    <mergeCell ref="C15:C18"/>
    <mergeCell ref="B1:C1"/>
    <mergeCell ref="B2:C2"/>
    <mergeCell ref="B3:C3"/>
    <mergeCell ref="B5:C5"/>
    <mergeCell ref="B6:C6"/>
    <mergeCell ref="B7:C7"/>
    <mergeCell ref="B10:C10"/>
    <mergeCell ref="B11:C11"/>
    <mergeCell ref="B8:C8"/>
    <mergeCell ref="B9:C9"/>
    <mergeCell ref="B12:C12"/>
    <mergeCell ref="B13:C13"/>
    <mergeCell ref="B14:C14"/>
  </mergeCells>
  <dataValidations count="2">
    <dataValidation type="list" allowBlank="1" showInputMessage="1" showErrorMessage="1" sqref="F8 F10:F11" xr:uid="{00000000-0002-0000-0100-000000000000}">
      <formula1>$AA$2:$AA$3</formula1>
    </dataValidation>
    <dataValidation type="list" allowBlank="1" showInputMessage="1" showErrorMessage="1" sqref="D14" xr:uid="{00000000-0002-0000-0100-000001000000}">
      <formula1>$G$1:$G$2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87"/>
  <sheetViews>
    <sheetView topLeftCell="B1" zoomScale="70" zoomScaleNormal="70" workbookViewId="0">
      <selection activeCell="F22" sqref="F22"/>
    </sheetView>
  </sheetViews>
  <sheetFormatPr defaultRowHeight="15" x14ac:dyDescent="0.25"/>
  <cols>
    <col min="1" max="1" width="0" style="10" hidden="1" customWidth="1"/>
    <col min="2" max="2" width="9.140625" style="10"/>
    <col min="3" max="3" width="30" style="10" customWidth="1"/>
    <col min="4" max="4" width="15" style="10" customWidth="1"/>
    <col min="5" max="5" width="15.85546875" style="10" customWidth="1"/>
    <col min="6" max="6" width="31.7109375" style="10" customWidth="1"/>
    <col min="7" max="7" width="14" style="10" customWidth="1"/>
    <col min="8" max="8" width="12.5703125" style="10" customWidth="1"/>
    <col min="9" max="9" width="16.7109375" style="10" customWidth="1"/>
    <col min="10" max="10" width="13.140625" style="10" customWidth="1"/>
    <col min="11" max="12" width="9.140625" style="10"/>
    <col min="13" max="13" width="9.140625" style="10" customWidth="1"/>
    <col min="14" max="14" width="13.42578125" style="10" customWidth="1"/>
    <col min="15" max="18" width="9.140625" style="10" customWidth="1"/>
    <col min="19" max="19" width="11.85546875" style="10" customWidth="1"/>
    <col min="20" max="21" width="13.5703125" style="10" customWidth="1"/>
    <col min="22" max="24" width="9.140625" style="10"/>
    <col min="25" max="25" width="0" style="10" hidden="1" customWidth="1"/>
    <col min="26" max="27" width="9.140625" style="10" hidden="1" customWidth="1"/>
    <col min="28" max="16384" width="9.140625" style="10"/>
  </cols>
  <sheetData>
    <row r="1" spans="2:27" x14ac:dyDescent="0.25">
      <c r="B1" s="56"/>
      <c r="C1" s="56"/>
      <c r="E1" s="11"/>
      <c r="F1" s="11"/>
      <c r="G1" s="12" t="s">
        <v>33</v>
      </c>
      <c r="H1" s="11"/>
      <c r="I1" s="11"/>
      <c r="J1" s="11"/>
      <c r="Y1" s="10">
        <v>13</v>
      </c>
    </row>
    <row r="2" spans="2:27" ht="18.75" x14ac:dyDescent="0.3">
      <c r="B2" s="50" t="s">
        <v>0</v>
      </c>
      <c r="C2" s="50"/>
      <c r="D2" s="2">
        <f ca="1">TODAY()</f>
        <v>45441</v>
      </c>
      <c r="E2" s="14"/>
      <c r="F2" s="11"/>
      <c r="G2" s="15" t="s">
        <v>34</v>
      </c>
      <c r="H2" s="11"/>
      <c r="I2" s="11"/>
      <c r="J2" s="11"/>
      <c r="Y2" s="10">
        <v>37</v>
      </c>
      <c r="Z2" s="10" t="s">
        <v>39</v>
      </c>
      <c r="AA2" s="10" t="s">
        <v>36</v>
      </c>
    </row>
    <row r="3" spans="2:27" ht="18" customHeight="1" x14ac:dyDescent="0.3">
      <c r="B3" s="50" t="s">
        <v>1</v>
      </c>
      <c r="C3" s="50"/>
      <c r="D3" s="3">
        <v>60</v>
      </c>
      <c r="E3" s="11"/>
      <c r="F3" s="16"/>
      <c r="G3" s="12">
        <f ca="1">SUM(G17:G85)</f>
        <v>105390.49969141229</v>
      </c>
      <c r="H3" s="11"/>
      <c r="I3" s="11"/>
      <c r="J3" s="11"/>
      <c r="Y3" s="10">
        <v>16</v>
      </c>
      <c r="AA3" s="10" t="s">
        <v>37</v>
      </c>
    </row>
    <row r="4" spans="2:27" ht="18" customHeight="1" x14ac:dyDescent="0.3">
      <c r="B4" s="36"/>
      <c r="C4" s="36" t="s">
        <v>40</v>
      </c>
      <c r="D4" s="8">
        <f>IF(F8="нет",D5,D5+D8*D5)</f>
        <v>105900</v>
      </c>
      <c r="E4" s="11"/>
      <c r="F4" s="16"/>
      <c r="G4" s="12"/>
      <c r="H4" s="11"/>
      <c r="I4" s="11"/>
      <c r="J4" s="11"/>
      <c r="Y4" s="10">
        <v>27</v>
      </c>
    </row>
    <row r="5" spans="2:27" ht="18.75" x14ac:dyDescent="0.3">
      <c r="B5" s="50" t="s">
        <v>2</v>
      </c>
      <c r="C5" s="50"/>
      <c r="D5" s="4">
        <v>100000</v>
      </c>
      <c r="E5" s="17"/>
      <c r="Y5" s="10">
        <v>39</v>
      </c>
    </row>
    <row r="6" spans="2:27" ht="18.75" x14ac:dyDescent="0.3">
      <c r="B6" s="57" t="s">
        <v>3</v>
      </c>
      <c r="C6" s="57"/>
      <c r="D6" s="9">
        <v>0.53</v>
      </c>
      <c r="E6" s="18"/>
      <c r="Y6" s="10">
        <v>51</v>
      </c>
    </row>
    <row r="7" spans="2:27" ht="18.75" x14ac:dyDescent="0.3">
      <c r="B7" s="57" t="s">
        <v>4</v>
      </c>
      <c r="C7" s="57"/>
      <c r="D7" s="9">
        <v>0</v>
      </c>
      <c r="E7" s="19"/>
    </row>
    <row r="8" spans="2:27" ht="18.75" x14ac:dyDescent="0.3">
      <c r="B8" s="57" t="s">
        <v>5</v>
      </c>
      <c r="C8" s="57"/>
      <c r="D8" s="9">
        <v>5.8999999999999997E-2</v>
      </c>
      <c r="F8" s="11" t="s">
        <v>36</v>
      </c>
    </row>
    <row r="9" spans="2:27" ht="18.75" hidden="1" x14ac:dyDescent="0.3">
      <c r="B9" s="57" t="s">
        <v>6</v>
      </c>
      <c r="C9" s="57"/>
      <c r="D9" s="13">
        <f ca="1">EDATE(D2,D3)</f>
        <v>47267</v>
      </c>
      <c r="E9" s="20"/>
      <c r="L9" s="21"/>
      <c r="M9" s="21"/>
      <c r="N9" s="21"/>
      <c r="O9" s="21"/>
      <c r="P9" s="21"/>
      <c r="Q9" s="21"/>
      <c r="R9" s="21"/>
      <c r="S9" s="22"/>
      <c r="T9" s="23"/>
      <c r="Y9" s="10">
        <v>51</v>
      </c>
    </row>
    <row r="10" spans="2:27" ht="15.75" x14ac:dyDescent="0.25">
      <c r="B10" s="58" t="s">
        <v>31</v>
      </c>
      <c r="C10" s="58"/>
      <c r="D10" s="24">
        <f>-PMT(D6/12,D3,D4)</f>
        <v>5055.3077095434955</v>
      </c>
      <c r="E10" s="10" t="s">
        <v>32</v>
      </c>
    </row>
    <row r="11" spans="2:27" x14ac:dyDescent="0.25">
      <c r="B11" s="49" t="s">
        <v>30</v>
      </c>
      <c r="C11" s="49" t="s">
        <v>7</v>
      </c>
      <c r="D11" s="49" t="s">
        <v>8</v>
      </c>
      <c r="E11" s="52" t="s">
        <v>29</v>
      </c>
      <c r="F11" s="49" t="s">
        <v>9</v>
      </c>
      <c r="G11" s="49" t="s">
        <v>10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 t="s">
        <v>11</v>
      </c>
      <c r="T11" s="49" t="s">
        <v>12</v>
      </c>
    </row>
    <row r="12" spans="2:27" x14ac:dyDescent="0.25">
      <c r="B12" s="49"/>
      <c r="C12" s="49"/>
      <c r="D12" s="49"/>
      <c r="E12" s="53"/>
      <c r="F12" s="49"/>
      <c r="G12" s="49" t="s">
        <v>13</v>
      </c>
      <c r="H12" s="49" t="s">
        <v>14</v>
      </c>
      <c r="I12" s="49" t="s">
        <v>15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</row>
    <row r="13" spans="2:27" x14ac:dyDescent="0.25">
      <c r="B13" s="49"/>
      <c r="C13" s="49"/>
      <c r="D13" s="49"/>
      <c r="E13" s="53"/>
      <c r="F13" s="49"/>
      <c r="G13" s="49"/>
      <c r="H13" s="49"/>
      <c r="I13" s="49" t="s">
        <v>16</v>
      </c>
      <c r="J13" s="49"/>
      <c r="K13" s="49"/>
      <c r="L13" s="49"/>
      <c r="M13" s="49" t="s">
        <v>17</v>
      </c>
      <c r="N13" s="49"/>
      <c r="O13" s="49" t="s">
        <v>18</v>
      </c>
      <c r="P13" s="49"/>
      <c r="Q13" s="49"/>
      <c r="R13" s="49"/>
      <c r="S13" s="49"/>
      <c r="T13" s="49"/>
    </row>
    <row r="14" spans="2:27" ht="60" x14ac:dyDescent="0.25">
      <c r="B14" s="49"/>
      <c r="C14" s="49"/>
      <c r="D14" s="49"/>
      <c r="E14" s="54"/>
      <c r="F14" s="49"/>
      <c r="G14" s="49"/>
      <c r="H14" s="49"/>
      <c r="I14" s="34" t="s">
        <v>19</v>
      </c>
      <c r="J14" s="34" t="s">
        <v>20</v>
      </c>
      <c r="K14" s="34" t="s">
        <v>21</v>
      </c>
      <c r="L14" s="34" t="s">
        <v>22</v>
      </c>
      <c r="M14" s="34" t="s">
        <v>23</v>
      </c>
      <c r="N14" s="34" t="s">
        <v>24</v>
      </c>
      <c r="O14" s="34" t="s">
        <v>25</v>
      </c>
      <c r="P14" s="34" t="s">
        <v>26</v>
      </c>
      <c r="Q14" s="34" t="s">
        <v>27</v>
      </c>
      <c r="R14" s="34" t="s">
        <v>28</v>
      </c>
      <c r="S14" s="49"/>
      <c r="T14" s="49"/>
    </row>
    <row r="15" spans="2:27" x14ac:dyDescent="0.25">
      <c r="B15" s="34">
        <v>1</v>
      </c>
      <c r="C15" s="34">
        <v>2</v>
      </c>
      <c r="D15" s="34">
        <v>3</v>
      </c>
      <c r="E15" s="34"/>
      <c r="F15" s="34">
        <v>4</v>
      </c>
      <c r="G15" s="34">
        <v>5</v>
      </c>
      <c r="H15" s="34">
        <v>6</v>
      </c>
      <c r="I15" s="34">
        <v>7</v>
      </c>
      <c r="J15" s="34">
        <v>8</v>
      </c>
      <c r="K15" s="34">
        <v>9</v>
      </c>
      <c r="L15" s="34">
        <v>10</v>
      </c>
      <c r="M15" s="34">
        <v>11</v>
      </c>
      <c r="N15" s="34">
        <v>12</v>
      </c>
      <c r="O15" s="34">
        <v>13</v>
      </c>
      <c r="P15" s="34">
        <v>14</v>
      </c>
      <c r="Q15" s="34">
        <v>15</v>
      </c>
      <c r="R15" s="34">
        <v>16</v>
      </c>
      <c r="S15" s="34">
        <v>17</v>
      </c>
      <c r="T15" s="34">
        <v>18</v>
      </c>
    </row>
    <row r="16" spans="2:27" x14ac:dyDescent="0.25">
      <c r="B16" s="10">
        <v>0</v>
      </c>
      <c r="C16" s="28">
        <f ca="1">D2</f>
        <v>45441</v>
      </c>
      <c r="E16" s="17">
        <f>D4</f>
        <v>105900</v>
      </c>
      <c r="F16" s="17">
        <f>-E16+K16</f>
        <v>-100000</v>
      </c>
      <c r="G16" s="17"/>
      <c r="H16" s="17"/>
      <c r="K16" s="10">
        <f>D8*D5</f>
        <v>5900</v>
      </c>
      <c r="S16" s="29">
        <f ca="1">SUM(U19:U87)</f>
        <v>0.74304066896438603</v>
      </c>
      <c r="T16" s="30">
        <f ca="1">SUM(G17:I85)</f>
        <v>303318.46257260983</v>
      </c>
    </row>
    <row r="17" spans="2:21" x14ac:dyDescent="0.25">
      <c r="B17" s="10">
        <v>1</v>
      </c>
      <c r="C17" s="28">
        <f ca="1">EDATE(C16,1)</f>
        <v>45472</v>
      </c>
      <c r="D17" s="10">
        <f ca="1">C17-C16</f>
        <v>31</v>
      </c>
      <c r="E17" s="17">
        <f ca="1">E16-G17</f>
        <v>105611.64297538801</v>
      </c>
      <c r="F17" s="17">
        <f ca="1">G17+H17+I17</f>
        <v>5055.3077095434955</v>
      </c>
      <c r="G17" s="17">
        <f ca="1">IF(C17=" "," ",IF(C17=$D$9,$D$4-SUM($D3:D$3),($D$10-H17)))</f>
        <v>288.35702461198889</v>
      </c>
      <c r="H17" s="17">
        <f ca="1">E16*$D$6*D17/365</f>
        <v>4766.9506849315067</v>
      </c>
      <c r="I17" s="10">
        <f ca="1">IF(C17=" "," ",IF($F$8="нет",$D$7*$D$5,($D$5*(1+$D$8))*$D$7))</f>
        <v>0</v>
      </c>
    </row>
    <row r="18" spans="2:21" x14ac:dyDescent="0.25">
      <c r="B18" s="10">
        <v>2</v>
      </c>
      <c r="C18" s="28">
        <f ca="1">IF(B17&gt;=$D$3, " ", EDATE(C17,1))</f>
        <v>45502</v>
      </c>
      <c r="D18" s="10">
        <f t="shared" ref="D18:D52" ca="1" si="0">IF(C18=" "," ",(C18-C17))</f>
        <v>30</v>
      </c>
      <c r="E18" s="17">
        <f ca="1">E17-G18</f>
        <v>105156.95204203264</v>
      </c>
      <c r="F18" s="17">
        <f ca="1">IF(C18=" "," ",G18+H18+I18)</f>
        <v>5055.3077095434955</v>
      </c>
      <c r="G18" s="17">
        <f ca="1">IF(C18=" "," ",IF(C18=$D$9,$D$4-SUM($D$3:D4),($D$10-H18)))</f>
        <v>454.69093335536036</v>
      </c>
      <c r="H18" s="17">
        <f ca="1">E17*$D$6*D18/365</f>
        <v>4600.6167761881352</v>
      </c>
      <c r="I18" s="10">
        <f ca="1">IF(C18=" "," ",IF($F$8="нет",$D$7*$D$5,($D$5*(1+$D$8))*$D$7))</f>
        <v>0</v>
      </c>
    </row>
    <row r="19" spans="2:21" x14ac:dyDescent="0.25">
      <c r="B19" s="10">
        <f t="shared" ref="B19:B52" ca="1" si="1">IF(C19 =" "," ",B18+1)</f>
        <v>3</v>
      </c>
      <c r="C19" s="28">
        <f t="shared" ref="C19:C82" ca="1" si="2">IF(B18&gt;=$D$3, " ", EDATE(C18,1))</f>
        <v>45533</v>
      </c>
      <c r="D19" s="10">
        <f t="shared" ca="1" si="0"/>
        <v>31</v>
      </c>
      <c r="E19" s="17">
        <f t="shared" ref="E19:E21" ca="1" si="3">E18-G19</f>
        <v>104835.14768057298</v>
      </c>
      <c r="F19" s="17">
        <f ca="1">IF(C19=" "," ",G19+H19+I19)</f>
        <v>5055.3077095434955</v>
      </c>
      <c r="G19" s="17">
        <f ca="1">IF(C19=" "," ",IF(C19=$D$9,$D$4-SUM($D$3:D5),($D$10-H19)))</f>
        <v>321.80436145966996</v>
      </c>
      <c r="H19" s="17">
        <f ca="1">E18*$D$6*D19/365</f>
        <v>4733.5033480838256</v>
      </c>
      <c r="I19" s="10">
        <f t="shared" ref="I19:I82" ca="1" si="4">IF(C19=" "," ",IF($F$8="нет",$D$7*$D$5,($D$5*(1+$D$8))*$D$7))</f>
        <v>0</v>
      </c>
      <c r="U19" s="31" t="str">
        <f>IF(B18=$D$3,XIRR(#REF!,$C$16:C18)," ")</f>
        <v xml:space="preserve"> </v>
      </c>
    </row>
    <row r="20" spans="2:21" x14ac:dyDescent="0.25">
      <c r="B20" s="10">
        <f t="shared" ca="1" si="1"/>
        <v>4</v>
      </c>
      <c r="C20" s="28">
        <f t="shared" ca="1" si="2"/>
        <v>45564</v>
      </c>
      <c r="D20" s="10">
        <f t="shared" ca="1" si="0"/>
        <v>31</v>
      </c>
      <c r="E20" s="17">
        <f t="shared" ca="1" si="3"/>
        <v>104498.8577145687</v>
      </c>
      <c r="F20" s="17">
        <f ca="1">IF(C20=" "," ",G20+H20+I20)</f>
        <v>5055.3077095434955</v>
      </c>
      <c r="G20" s="17">
        <f ca="1">IF(C20=" "," ",IF(C20=$D$9,$D$4-SUM($D$3:D6),($D$10-H20)))</f>
        <v>336.28996600427854</v>
      </c>
      <c r="H20" s="17">
        <f t="shared" ref="H20:H83" ca="1" si="5">IF(C20=" "," ",E19*$D$6*D20/365)</f>
        <v>4719.017743539217</v>
      </c>
      <c r="I20" s="10">
        <f t="shared" ca="1" si="4"/>
        <v>0</v>
      </c>
      <c r="U20" s="31" t="str">
        <f ca="1">IF(B19=$D$3,XIRR($F$16:F19,$C$16:C19)," ")</f>
        <v xml:space="preserve"> </v>
      </c>
    </row>
    <row r="21" spans="2:21" x14ac:dyDescent="0.25">
      <c r="B21" s="10">
        <f t="shared" ca="1" si="1"/>
        <v>5</v>
      </c>
      <c r="C21" s="28">
        <f t="shared" ca="1" si="2"/>
        <v>45594</v>
      </c>
      <c r="D21" s="10">
        <f t="shared" ca="1" si="0"/>
        <v>30</v>
      </c>
      <c r="E21" s="17">
        <f t="shared" ca="1" si="3"/>
        <v>103995.69202601601</v>
      </c>
      <c r="F21" s="17">
        <f ca="1">IF(C21=" "," ",G21+H21+I21)</f>
        <v>5055.3077095434955</v>
      </c>
      <c r="G21" s="17">
        <f ca="1">IF(C21=" "," ",IF(C21=$D$9,$D$4-SUM($D$3:D7),($D$10-H21)))</f>
        <v>503.16568855269452</v>
      </c>
      <c r="H21" s="17">
        <f t="shared" ca="1" si="5"/>
        <v>4552.142020990801</v>
      </c>
      <c r="I21" s="10">
        <f t="shared" ca="1" si="4"/>
        <v>0</v>
      </c>
      <c r="U21" s="31" t="str">
        <f ca="1">IF(B20=$D$3,XIRR($F$16:F20,$C$16:C20)," ")</f>
        <v xml:space="preserve"> </v>
      </c>
    </row>
    <row r="22" spans="2:21" x14ac:dyDescent="0.25">
      <c r="B22" s="10">
        <f t="shared" ca="1" si="1"/>
        <v>6</v>
      </c>
      <c r="C22" s="28">
        <f t="shared" ca="1" si="2"/>
        <v>45625</v>
      </c>
      <c r="D22" s="10">
        <f t="shared" ca="1" si="0"/>
        <v>31</v>
      </c>
      <c r="E22" s="17">
        <f t="shared" ref="E22:E40" ca="1" si="6">IF(C22=" "," ",E21-G22)</f>
        <v>103621.61505616414</v>
      </c>
      <c r="F22" s="17">
        <f t="shared" ref="F22:F85" ca="1" si="7">IF(C22=" "," ",G22+H22+I22)</f>
        <v>5055.3077095434955</v>
      </c>
      <c r="G22" s="17">
        <f ca="1">IF(C22=" "," ",IF(C22=$D$9,$D$4-SUM($D$3:D8),($D$10-H22)))</f>
        <v>374.07696985187067</v>
      </c>
      <c r="H22" s="17">
        <f t="shared" ca="1" si="5"/>
        <v>4681.2307396916249</v>
      </c>
      <c r="I22" s="10">
        <f t="shared" ca="1" si="4"/>
        <v>0</v>
      </c>
      <c r="U22" s="31" t="str">
        <f ca="1">IF(B21=$D$3,XIRR($F$16:F21,$C$16:C21)," ")</f>
        <v xml:space="preserve"> </v>
      </c>
    </row>
    <row r="23" spans="2:21" x14ac:dyDescent="0.25">
      <c r="B23" s="10">
        <f t="shared" ca="1" si="1"/>
        <v>7</v>
      </c>
      <c r="C23" s="28">
        <f t="shared" ca="1" si="2"/>
        <v>45655</v>
      </c>
      <c r="D23" s="10">
        <f t="shared" ca="1" si="0"/>
        <v>30</v>
      </c>
      <c r="E23" s="17">
        <f t="shared" ca="1" si="6"/>
        <v>103080.23523536861</v>
      </c>
      <c r="F23" s="17">
        <f t="shared" ca="1" si="7"/>
        <v>5055.3077095434955</v>
      </c>
      <c r="G23" s="17">
        <f ca="1">IF(C23=" "," ",IF(C23=$D$9,$D$4-SUM($G$17:G22),($D$10-H23)))</f>
        <v>541.3798207955233</v>
      </c>
      <c r="H23" s="17">
        <f t="shared" ca="1" si="5"/>
        <v>4513.9278887479722</v>
      </c>
      <c r="I23" s="10">
        <f t="shared" ca="1" si="4"/>
        <v>0</v>
      </c>
      <c r="U23" s="31" t="str">
        <f ca="1">IF(B22=$D$3,XIRR($F$16:F22,$C$16:C22)," ")</f>
        <v xml:space="preserve"> </v>
      </c>
    </row>
    <row r="24" spans="2:21" x14ac:dyDescent="0.25">
      <c r="B24" s="10">
        <f t="shared" ca="1" si="1"/>
        <v>8</v>
      </c>
      <c r="C24" s="28">
        <f t="shared" ca="1" si="2"/>
        <v>45686</v>
      </c>
      <c r="D24" s="10">
        <f t="shared" ca="1" si="0"/>
        <v>31</v>
      </c>
      <c r="E24" s="17">
        <f t="shared" ca="1" si="6"/>
        <v>102664.95016943364</v>
      </c>
      <c r="F24" s="17">
        <f t="shared" ca="1" si="7"/>
        <v>5055.3077095434955</v>
      </c>
      <c r="G24" s="17">
        <f ca="1">IF(C24=" "," ",IF(C24=$D$9,$D$4-SUM($G$17:G23),($D$10-H24)))</f>
        <v>415.28506593498423</v>
      </c>
      <c r="H24" s="17">
        <f t="shared" ca="1" si="5"/>
        <v>4640.0226436085113</v>
      </c>
      <c r="I24" s="10">
        <f t="shared" ca="1" si="4"/>
        <v>0</v>
      </c>
      <c r="U24" s="31" t="str">
        <f ca="1">IF(B23=$D$3,XIRR($F$16:F23,$C$16:C23)," ")</f>
        <v xml:space="preserve"> </v>
      </c>
    </row>
    <row r="25" spans="2:21" x14ac:dyDescent="0.25">
      <c r="B25" s="10">
        <f t="shared" ca="1" si="1"/>
        <v>9</v>
      </c>
      <c r="C25" s="28">
        <f t="shared" ca="1" si="2"/>
        <v>45716</v>
      </c>
      <c r="D25" s="10">
        <f t="shared" ca="1" si="0"/>
        <v>30</v>
      </c>
      <c r="E25" s="17">
        <f t="shared" ca="1" si="6"/>
        <v>102081.89645357232</v>
      </c>
      <c r="F25" s="17">
        <f t="shared" ca="1" si="7"/>
        <v>5055.3077095434955</v>
      </c>
      <c r="G25" s="17">
        <f ca="1">IF(C25=" "," ",IF(C25=$D$9,$D$4-SUM($G$17:G24),($D$10-H25)))</f>
        <v>583.05371586131787</v>
      </c>
      <c r="H25" s="17">
        <f t="shared" ca="1" si="5"/>
        <v>4472.2539936821777</v>
      </c>
      <c r="I25" s="10">
        <f t="shared" ca="1" si="4"/>
        <v>0</v>
      </c>
      <c r="U25" s="31" t="str">
        <f ca="1">IF(B24=$D$3,XIRR($F$16:F24,$C$16:C24)," ")</f>
        <v xml:space="preserve"> </v>
      </c>
    </row>
    <row r="26" spans="2:21" x14ac:dyDescent="0.25">
      <c r="B26" s="10">
        <f t="shared" ca="1" si="1"/>
        <v>10</v>
      </c>
      <c r="C26" s="28">
        <f t="shared" ca="1" si="2"/>
        <v>45744</v>
      </c>
      <c r="D26" s="10">
        <f t="shared" ca="1" si="0"/>
        <v>28</v>
      </c>
      <c r="E26" s="17">
        <f t="shared" ca="1" si="6"/>
        <v>101176.9869450453</v>
      </c>
      <c r="F26" s="17">
        <f t="shared" ca="1" si="7"/>
        <v>5055.3077095434955</v>
      </c>
      <c r="G26" s="17">
        <f ca="1">IF(C26=" "," ",IF(C26=$D$9,$D$4-SUM($G$17:G25),($D$10-H26)))</f>
        <v>904.90950852702008</v>
      </c>
      <c r="H26" s="17">
        <f t="shared" ca="1" si="5"/>
        <v>4150.3982010164755</v>
      </c>
      <c r="I26" s="10">
        <f t="shared" ca="1" si="4"/>
        <v>0</v>
      </c>
      <c r="U26" s="31" t="str">
        <f ca="1">IF(B25=$D$3,XIRR($F$16:F25,$C$16:C25)," ")</f>
        <v xml:space="preserve"> </v>
      </c>
    </row>
    <row r="27" spans="2:21" x14ac:dyDescent="0.25">
      <c r="B27" s="10">
        <f t="shared" ca="1" si="1"/>
        <v>11</v>
      </c>
      <c r="C27" s="28">
        <f t="shared" ca="1" si="2"/>
        <v>45775</v>
      </c>
      <c r="D27" s="10">
        <f t="shared" ca="1" si="0"/>
        <v>31</v>
      </c>
      <c r="E27" s="17">
        <f t="shared" ca="1" si="6"/>
        <v>100676.02963415137</v>
      </c>
      <c r="F27" s="17">
        <f t="shared" ca="1" si="7"/>
        <v>5055.3077095434955</v>
      </c>
      <c r="G27" s="17">
        <f ca="1">IF(C27=" "," ",IF(C27=$D$9,$D$4-SUM($G$17:G26),($D$10-H27)))</f>
        <v>500.95731089392211</v>
      </c>
      <c r="H27" s="17">
        <f t="shared" ca="1" si="5"/>
        <v>4554.3503986495734</v>
      </c>
      <c r="I27" s="10">
        <f t="shared" ca="1" si="4"/>
        <v>0</v>
      </c>
      <c r="U27" s="31" t="str">
        <f ca="1">IF(B26=$D$3,XIRR($F$16:F26,$C$16:C26)," ")</f>
        <v xml:space="preserve"> </v>
      </c>
    </row>
    <row r="28" spans="2:21" x14ac:dyDescent="0.25">
      <c r="B28" s="10">
        <f t="shared" ca="1" si="1"/>
        <v>12</v>
      </c>
      <c r="C28" s="28">
        <f t="shared" ca="1" si="2"/>
        <v>45805</v>
      </c>
      <c r="D28" s="10">
        <f t="shared" ca="1" si="0"/>
        <v>30</v>
      </c>
      <c r="E28" s="17">
        <f t="shared" ca="1" si="6"/>
        <v>100006.33527031475</v>
      </c>
      <c r="F28" s="17">
        <f t="shared" ca="1" si="7"/>
        <v>5055.3077095434955</v>
      </c>
      <c r="G28" s="17">
        <f ca="1">IF(C28=" "," ",IF(C28=$D$9,$D$4-SUM($G$17:G27),($D$10-H28)))</f>
        <v>669.69436383662742</v>
      </c>
      <c r="H28" s="17">
        <f t="shared" ca="1" si="5"/>
        <v>4385.6133457068681</v>
      </c>
      <c r="I28" s="10">
        <f t="shared" ca="1" si="4"/>
        <v>0</v>
      </c>
      <c r="U28" s="31" t="str">
        <f ca="1">IF(B27=$D$3,XIRR($F$16:F27,$C$16:C27)," ")</f>
        <v xml:space="preserve"> </v>
      </c>
    </row>
    <row r="29" spans="2:21" x14ac:dyDescent="0.25">
      <c r="B29" s="10">
        <f t="shared" ca="1" si="1"/>
        <v>13</v>
      </c>
      <c r="C29" s="28">
        <f t="shared" ca="1" si="2"/>
        <v>45836</v>
      </c>
      <c r="D29" s="10">
        <f t="shared" ca="1" si="0"/>
        <v>31</v>
      </c>
      <c r="E29" s="17">
        <f t="shared" ca="1" si="6"/>
        <v>99452.682597733641</v>
      </c>
      <c r="F29" s="17">
        <f t="shared" ca="1" si="7"/>
        <v>5055.3077095434955</v>
      </c>
      <c r="G29" s="17">
        <f ca="1">IF(C29=" "," ",IF(C29=$D$9,$D$4-SUM($G$17:G28),($D$10-H29)))</f>
        <v>553.65267258110816</v>
      </c>
      <c r="H29" s="17">
        <f t="shared" ca="1" si="5"/>
        <v>4501.6550369623874</v>
      </c>
      <c r="I29" s="10">
        <f t="shared" ca="1" si="4"/>
        <v>0</v>
      </c>
      <c r="U29" s="31" t="str">
        <f ca="1">IF(B28=$D$3,XIRR($F$16:F28,$C$16:C28)," ")</f>
        <v xml:space="preserve"> </v>
      </c>
    </row>
    <row r="30" spans="2:21" x14ac:dyDescent="0.25">
      <c r="B30" s="10">
        <f t="shared" ca="1" si="1"/>
        <v>14</v>
      </c>
      <c r="C30" s="28">
        <f t="shared" ca="1" si="2"/>
        <v>45866</v>
      </c>
      <c r="D30" s="10">
        <f t="shared" ca="1" si="0"/>
        <v>30</v>
      </c>
      <c r="E30" s="17">
        <f t="shared" ca="1" si="6"/>
        <v>98729.69722600923</v>
      </c>
      <c r="F30" s="17">
        <f t="shared" ca="1" si="7"/>
        <v>5055.3077095434955</v>
      </c>
      <c r="G30" s="17">
        <f ca="1">IF(C30=" "," ",IF(C30=$D$9,$D$4-SUM($G$17:G29),($D$10-H30)))</f>
        <v>722.9853717244132</v>
      </c>
      <c r="H30" s="17">
        <f t="shared" ca="1" si="5"/>
        <v>4332.3223378190823</v>
      </c>
      <c r="I30" s="10">
        <f t="shared" ca="1" si="4"/>
        <v>0</v>
      </c>
      <c r="U30" s="31" t="str">
        <f ca="1">IF(B29=$D$3,XIRR($F$16:F29,$C$16:C29)," ")</f>
        <v xml:space="preserve"> </v>
      </c>
    </row>
    <row r="31" spans="2:21" x14ac:dyDescent="0.25">
      <c r="B31" s="10">
        <f t="shared" ca="1" si="1"/>
        <v>15</v>
      </c>
      <c r="C31" s="28">
        <f t="shared" ca="1" si="2"/>
        <v>45897</v>
      </c>
      <c r="D31" s="10">
        <f t="shared" ca="1" si="0"/>
        <v>31</v>
      </c>
      <c r="E31" s="17">
        <f t="shared" ca="1" si="6"/>
        <v>98118.578353241988</v>
      </c>
      <c r="F31" s="17">
        <f t="shared" ca="1" si="7"/>
        <v>5055.3077095434955</v>
      </c>
      <c r="G31" s="17">
        <f ca="1">IF(C31=" "," ",IF(C31=$D$9,$D$4-SUM($G$17:G30),($D$10-H31)))</f>
        <v>611.11887276724428</v>
      </c>
      <c r="H31" s="17">
        <f t="shared" ca="1" si="5"/>
        <v>4444.1888367762513</v>
      </c>
      <c r="I31" s="10">
        <f t="shared" ca="1" si="4"/>
        <v>0</v>
      </c>
      <c r="U31" s="31" t="str">
        <f ca="1">IF(B30=$D$3,XIRR($F$16:F30,$C$16:C30)," ")</f>
        <v xml:space="preserve"> </v>
      </c>
    </row>
    <row r="32" spans="2:21" x14ac:dyDescent="0.25">
      <c r="B32" s="10">
        <f t="shared" ca="1" si="1"/>
        <v>16</v>
      </c>
      <c r="C32" s="28">
        <f t="shared" ca="1" si="2"/>
        <v>45928</v>
      </c>
      <c r="D32" s="10">
        <f t="shared" ca="1" si="0"/>
        <v>31</v>
      </c>
      <c r="E32" s="17">
        <f t="shared" ca="1" si="6"/>
        <v>97479.950759708809</v>
      </c>
      <c r="F32" s="17">
        <f t="shared" ca="1" si="7"/>
        <v>5055.3077095434955</v>
      </c>
      <c r="G32" s="17">
        <f ca="1">IF(C32=" "," ",IF(C32=$D$9,$D$4-SUM($G$17:G31),($D$10-H32)))</f>
        <v>638.62759353317779</v>
      </c>
      <c r="H32" s="17">
        <f t="shared" ca="1" si="5"/>
        <v>4416.6801160103178</v>
      </c>
      <c r="I32" s="10">
        <f t="shared" ca="1" si="4"/>
        <v>0</v>
      </c>
      <c r="U32" s="31" t="str">
        <f ca="1">IF(B31=$D$3,XIRR($F$16:F31,$C$16:C31)," ")</f>
        <v xml:space="preserve"> </v>
      </c>
    </row>
    <row r="33" spans="2:21" x14ac:dyDescent="0.25">
      <c r="B33" s="10">
        <f t="shared" ca="1" si="1"/>
        <v>17</v>
      </c>
      <c r="C33" s="28">
        <f t="shared" ca="1" si="2"/>
        <v>45958</v>
      </c>
      <c r="D33" s="10">
        <f t="shared" ca="1" si="0"/>
        <v>30</v>
      </c>
      <c r="E33" s="17">
        <f t="shared" ca="1" si="6"/>
        <v>96671.029946273178</v>
      </c>
      <c r="F33" s="17">
        <f t="shared" ca="1" si="7"/>
        <v>5055.3077095434955</v>
      </c>
      <c r="G33" s="17">
        <f ca="1">IF(C33=" "," ",IF(C33=$D$9,$D$4-SUM($G$17:G32),($D$10-H33)))</f>
        <v>808.92081343563223</v>
      </c>
      <c r="H33" s="17">
        <f t="shared" ca="1" si="5"/>
        <v>4246.3868961078633</v>
      </c>
      <c r="I33" s="10">
        <f t="shared" ca="1" si="4"/>
        <v>0</v>
      </c>
      <c r="U33" s="31" t="str">
        <f ca="1">IF(B32=$D$3,XIRR($F$16:F32,$C$16:C32)," ")</f>
        <v xml:space="preserve"> </v>
      </c>
    </row>
    <row r="34" spans="2:21" x14ac:dyDescent="0.25">
      <c r="B34" s="10">
        <f t="shared" ca="1" si="1"/>
        <v>18</v>
      </c>
      <c r="C34" s="28">
        <f t="shared" ca="1" si="2"/>
        <v>45989</v>
      </c>
      <c r="D34" s="10">
        <f t="shared" ca="1" si="0"/>
        <v>31</v>
      </c>
      <c r="E34" s="17">
        <f t="shared" ca="1" si="6"/>
        <v>95967.242844996174</v>
      </c>
      <c r="F34" s="17">
        <f t="shared" ca="1" si="7"/>
        <v>5055.3077095434955</v>
      </c>
      <c r="G34" s="17">
        <f ca="1">IF(C34=" "," ",IF(C34=$D$9,$D$4-SUM($G$17:G33),($D$10-H34)))</f>
        <v>703.78710127700651</v>
      </c>
      <c r="H34" s="17">
        <f t="shared" ca="1" si="5"/>
        <v>4351.520608266489</v>
      </c>
      <c r="I34" s="10">
        <f t="shared" ca="1" si="4"/>
        <v>0</v>
      </c>
      <c r="U34" s="31" t="str">
        <f ca="1">IF(B33=$D$3,XIRR($F$16:F33,$C$16:C33)," ")</f>
        <v xml:space="preserve"> </v>
      </c>
    </row>
    <row r="35" spans="2:21" x14ac:dyDescent="0.25">
      <c r="B35" s="10">
        <f t="shared" ca="1" si="1"/>
        <v>19</v>
      </c>
      <c r="C35" s="28">
        <f t="shared" ca="1" si="2"/>
        <v>46019</v>
      </c>
      <c r="D35" s="10">
        <f t="shared" ca="1" si="0"/>
        <v>30</v>
      </c>
      <c r="E35" s="17">
        <f t="shared" ca="1" si="6"/>
        <v>95092.425988152507</v>
      </c>
      <c r="F35" s="17">
        <f t="shared" ca="1" si="7"/>
        <v>5055.3077095434955</v>
      </c>
      <c r="G35" s="17">
        <f ca="1">IF(C35=" "," ",IF(C35=$D$9,$D$4-SUM($G$17:G34),($D$10-H35)))</f>
        <v>874.81685684366221</v>
      </c>
      <c r="H35" s="17">
        <f t="shared" ca="1" si="5"/>
        <v>4180.4908526998333</v>
      </c>
      <c r="I35" s="10">
        <f t="shared" ca="1" si="4"/>
        <v>0</v>
      </c>
      <c r="U35" s="31" t="str">
        <f ca="1">IF(B34=$D$3,XIRR($F$16:F34,$C$16:C34)," ")</f>
        <v xml:space="preserve"> </v>
      </c>
    </row>
    <row r="36" spans="2:21" x14ac:dyDescent="0.25">
      <c r="B36" s="10">
        <f t="shared" ca="1" si="1"/>
        <v>20</v>
      </c>
      <c r="C36" s="28">
        <f t="shared" ca="1" si="2"/>
        <v>46050</v>
      </c>
      <c r="D36" s="10">
        <f t="shared" ca="1" si="0"/>
        <v>31</v>
      </c>
      <c r="E36" s="17">
        <f t="shared" ca="1" si="6"/>
        <v>94317.580084048313</v>
      </c>
      <c r="F36" s="17">
        <f t="shared" ca="1" si="7"/>
        <v>5055.3077095434955</v>
      </c>
      <c r="G36" s="17">
        <f ca="1">IF(C36=" "," ",IF(C36=$D$9,$D$4-SUM($G$17:G35),($D$10-H36)))</f>
        <v>774.84590410419241</v>
      </c>
      <c r="H36" s="17">
        <f t="shared" ca="1" si="5"/>
        <v>4280.4618054393031</v>
      </c>
      <c r="I36" s="10">
        <f t="shared" ca="1" si="4"/>
        <v>0</v>
      </c>
      <c r="U36" s="31" t="str">
        <f ca="1">IF(B35=$D$3,XIRR($F$16:F35,$C$16:C35)," ")</f>
        <v xml:space="preserve"> </v>
      </c>
    </row>
    <row r="37" spans="2:21" x14ac:dyDescent="0.25">
      <c r="B37" s="10">
        <f t="shared" ca="1" si="1"/>
        <v>21</v>
      </c>
      <c r="C37" s="28">
        <f t="shared" ca="1" si="2"/>
        <v>46081</v>
      </c>
      <c r="D37" s="10">
        <f t="shared" ca="1" si="0"/>
        <v>31</v>
      </c>
      <c r="E37" s="17">
        <f t="shared" ca="1" si="6"/>
        <v>93507.855499931975</v>
      </c>
      <c r="F37" s="17">
        <f t="shared" ca="1" si="7"/>
        <v>5055.3077095434955</v>
      </c>
      <c r="G37" s="17">
        <f ca="1">IF(C37=" "," ",IF(C37=$D$9,$D$4-SUM($G$17:G36),($D$10-H37)))</f>
        <v>809.72458411633397</v>
      </c>
      <c r="H37" s="17">
        <f t="shared" ca="1" si="5"/>
        <v>4245.5831254271616</v>
      </c>
      <c r="I37" s="10">
        <f t="shared" ca="1" si="4"/>
        <v>0</v>
      </c>
      <c r="U37" s="31" t="str">
        <f ca="1">IF(B36=$D$3,XIRR($F$16:F36,$C$16:C36)," ")</f>
        <v xml:space="preserve"> </v>
      </c>
    </row>
    <row r="38" spans="2:21" x14ac:dyDescent="0.25">
      <c r="B38" s="10">
        <f t="shared" ca="1" si="1"/>
        <v>22</v>
      </c>
      <c r="C38" s="28">
        <f t="shared" ca="1" si="2"/>
        <v>46109</v>
      </c>
      <c r="D38" s="10">
        <f t="shared" ca="1" si="0"/>
        <v>28</v>
      </c>
      <c r="E38" s="17">
        <f t="shared" ca="1" si="6"/>
        <v>92254.346627700783</v>
      </c>
      <c r="F38" s="17">
        <f t="shared" ca="1" si="7"/>
        <v>5055.3077095434955</v>
      </c>
      <c r="G38" s="17">
        <f ca="1">IF(C38=" "," ",IF(C38=$D$9,$D$4-SUM($G$17:G37),($D$10-H38)))</f>
        <v>1253.5088722311921</v>
      </c>
      <c r="H38" s="17">
        <f t="shared" ca="1" si="5"/>
        <v>3801.7988373123035</v>
      </c>
      <c r="I38" s="10">
        <f t="shared" ca="1" si="4"/>
        <v>0</v>
      </c>
      <c r="U38" s="31" t="str">
        <f ca="1">IF(B37=$D$3,XIRR($F$16:F37,$C$16:C37)," ")</f>
        <v xml:space="preserve"> </v>
      </c>
    </row>
    <row r="39" spans="2:21" x14ac:dyDescent="0.25">
      <c r="B39" s="10">
        <f t="shared" ca="1" si="1"/>
        <v>23</v>
      </c>
      <c r="C39" s="28">
        <f t="shared" ca="1" si="2"/>
        <v>46140</v>
      </c>
      <c r="D39" s="10">
        <f t="shared" ca="1" si="0"/>
        <v>31</v>
      </c>
      <c r="E39" s="17">
        <f t="shared" ca="1" si="6"/>
        <v>91351.748274576807</v>
      </c>
      <c r="F39" s="17">
        <f t="shared" ca="1" si="7"/>
        <v>5055.3077095434955</v>
      </c>
      <c r="G39" s="17">
        <f ca="1">IF(C39=" "," ",IF(C39=$D$9,$D$4-SUM($G$17:G38),($D$10-H39)))</f>
        <v>902.59835312397809</v>
      </c>
      <c r="H39" s="17">
        <f t="shared" ca="1" si="5"/>
        <v>4152.7093564195175</v>
      </c>
      <c r="I39" s="10">
        <f t="shared" ca="1" si="4"/>
        <v>0</v>
      </c>
      <c r="U39" s="31" t="str">
        <f ca="1">IF(B38=$D$3,XIRR($F$16:F38,$C$16:C38)," ")</f>
        <v xml:space="preserve"> </v>
      </c>
    </row>
    <row r="40" spans="2:21" x14ac:dyDescent="0.25">
      <c r="B40" s="10">
        <f t="shared" ca="1" si="1"/>
        <v>24</v>
      </c>
      <c r="C40" s="28">
        <f t="shared" ca="1" si="2"/>
        <v>46170</v>
      </c>
      <c r="D40" s="10">
        <f t="shared" ca="1" si="0"/>
        <v>30</v>
      </c>
      <c r="E40" s="17">
        <f t="shared" ca="1" si="6"/>
        <v>90275.872887131321</v>
      </c>
      <c r="F40" s="17">
        <f t="shared" ca="1" si="7"/>
        <v>5055.3077095434955</v>
      </c>
      <c r="G40" s="17">
        <f ca="1">IF(C40=" "," ",IF(C40=$D$9,$D$4-SUM($G$17:G39),($D$10-H40)))</f>
        <v>1075.8753874454919</v>
      </c>
      <c r="H40" s="17">
        <f t="shared" ca="1" si="5"/>
        <v>3979.4323220980036</v>
      </c>
      <c r="I40" s="10">
        <f t="shared" ca="1" si="4"/>
        <v>0</v>
      </c>
      <c r="U40" s="31" t="str">
        <f ca="1">IF(B39=$D$3,XIRR($F$16:F39,$C$16:C39)," ")</f>
        <v xml:space="preserve"> </v>
      </c>
    </row>
    <row r="41" spans="2:21" x14ac:dyDescent="0.25">
      <c r="B41" s="10">
        <f t="shared" ca="1" si="1"/>
        <v>25</v>
      </c>
      <c r="C41" s="28">
        <f t="shared" ca="1" si="2"/>
        <v>46201</v>
      </c>
      <c r="D41" s="10">
        <f t="shared" ca="1" si="0"/>
        <v>31</v>
      </c>
      <c r="E41" s="17">
        <f ca="1">IF(C41=" "," ",E40-G41)</f>
        <v>89284.216113301707</v>
      </c>
      <c r="F41" s="17">
        <f t="shared" ca="1" si="7"/>
        <v>5055.3077095434955</v>
      </c>
      <c r="G41" s="17">
        <f ca="1">IF(C41=" "," ",IF(C41=$D$9,$D$4-SUM($G$17:G40),($D$10-H41)))</f>
        <v>991.65677382961167</v>
      </c>
      <c r="H41" s="17">
        <f t="shared" ca="1" si="5"/>
        <v>4063.6509357138839</v>
      </c>
      <c r="I41" s="10">
        <f t="shared" ca="1" si="4"/>
        <v>0</v>
      </c>
      <c r="U41" s="31" t="str">
        <f ca="1">IF(B40=$D$3,XIRR($F$16:F40,$C$16:C40)," ")</f>
        <v xml:space="preserve"> </v>
      </c>
    </row>
    <row r="42" spans="2:21" x14ac:dyDescent="0.25">
      <c r="B42" s="10">
        <f t="shared" ca="1" si="1"/>
        <v>26</v>
      </c>
      <c r="C42" s="28">
        <f t="shared" ca="1" si="2"/>
        <v>46231</v>
      </c>
      <c r="D42" s="10">
        <f t="shared" ca="1" si="0"/>
        <v>30</v>
      </c>
      <c r="E42" s="17">
        <f t="shared" ref="E42:E86" ca="1" si="8">IF(C42=" "," ",E41-G42)</f>
        <v>88118.27562622806</v>
      </c>
      <c r="F42" s="17">
        <f t="shared" ca="1" si="7"/>
        <v>5055.3077095434955</v>
      </c>
      <c r="G42" s="17">
        <f ca="1">IF(C42=" "," ",IF(C42=$D$9,$D$4-SUM($G$17:G41),($D$10-H42)))</f>
        <v>1165.9404870736407</v>
      </c>
      <c r="H42" s="17">
        <f t="shared" ca="1" si="5"/>
        <v>3889.3672224698548</v>
      </c>
      <c r="I42" s="10">
        <f t="shared" ca="1" si="4"/>
        <v>0</v>
      </c>
      <c r="U42" s="31" t="str">
        <f ca="1">IF(B41=$D$3,XIRR($F$16:F41,$C$16:C41)," ")</f>
        <v xml:space="preserve"> </v>
      </c>
    </row>
    <row r="43" spans="2:21" x14ac:dyDescent="0.25">
      <c r="B43" s="10">
        <f t="shared" ca="1" si="1"/>
        <v>27</v>
      </c>
      <c r="C43" s="28">
        <f t="shared" ca="1" si="2"/>
        <v>46262</v>
      </c>
      <c r="D43" s="10">
        <f t="shared" ca="1" si="0"/>
        <v>31</v>
      </c>
      <c r="E43" s="17">
        <f t="shared" ca="1" si="8"/>
        <v>87029.497419530933</v>
      </c>
      <c r="F43" s="17">
        <f t="shared" ca="1" si="7"/>
        <v>5055.3077095434955</v>
      </c>
      <c r="G43" s="17">
        <f ca="1">IF(C43=" "," ",IF(C43=$D$9,$D$4-SUM($G$17:G42),($D$10-H43)))</f>
        <v>1088.7782066971204</v>
      </c>
      <c r="H43" s="17">
        <f t="shared" ca="1" si="5"/>
        <v>3966.5295028463752</v>
      </c>
      <c r="I43" s="10">
        <f t="shared" ca="1" si="4"/>
        <v>0</v>
      </c>
      <c r="U43" s="31" t="str">
        <f ca="1">IF(B42=$D$3,XIRR($F$16:F42,$C$16:C42)," ")</f>
        <v xml:space="preserve"> </v>
      </c>
    </row>
    <row r="44" spans="2:21" x14ac:dyDescent="0.25">
      <c r="B44" s="10">
        <f t="shared" ca="1" si="1"/>
        <v>28</v>
      </c>
      <c r="C44" s="28">
        <f t="shared" ca="1" si="2"/>
        <v>46293</v>
      </c>
      <c r="D44" s="10">
        <f t="shared" ca="1" si="0"/>
        <v>31</v>
      </c>
      <c r="E44" s="17">
        <f t="shared" ca="1" si="8"/>
        <v>85891.709278762486</v>
      </c>
      <c r="F44" s="17">
        <f t="shared" ca="1" si="7"/>
        <v>5055.3077095434955</v>
      </c>
      <c r="G44" s="17">
        <f ca="1">IF(C44=" "," ",IF(C44=$D$9,$D$4-SUM($G$17:G43),($D$10-H44)))</f>
        <v>1137.7881407684454</v>
      </c>
      <c r="H44" s="17">
        <f t="shared" ca="1" si="5"/>
        <v>3917.5195687750502</v>
      </c>
      <c r="I44" s="10">
        <f t="shared" ca="1" si="4"/>
        <v>0</v>
      </c>
      <c r="U44" s="31" t="str">
        <f ca="1">IF(B43=$D$3,XIRR($F$16:F43,$C$16:C43)," ")</f>
        <v xml:space="preserve"> </v>
      </c>
    </row>
    <row r="45" spans="2:21" x14ac:dyDescent="0.25">
      <c r="B45" s="10">
        <f t="shared" ca="1" si="1"/>
        <v>29</v>
      </c>
      <c r="C45" s="28">
        <f t="shared" ca="1" si="2"/>
        <v>46323</v>
      </c>
      <c r="D45" s="10">
        <f t="shared" ca="1" si="0"/>
        <v>30</v>
      </c>
      <c r="E45" s="17">
        <f t="shared" ca="1" si="8"/>
        <v>84577.985617252751</v>
      </c>
      <c r="F45" s="17">
        <f t="shared" ca="1" si="7"/>
        <v>5055.3077095434955</v>
      </c>
      <c r="G45" s="17">
        <f ca="1">IF(C45=" "," ",IF(C45=$D$9,$D$4-SUM($G$17:G44),($D$10-H45)))</f>
        <v>1313.7236615097322</v>
      </c>
      <c r="H45" s="17">
        <f t="shared" ca="1" si="5"/>
        <v>3741.5840480337633</v>
      </c>
      <c r="I45" s="10">
        <f t="shared" ca="1" si="4"/>
        <v>0</v>
      </c>
      <c r="U45" s="31" t="str">
        <f ca="1">IF(B44=$D$3,XIRR($F$16:F44,$C$16:C44)," ")</f>
        <v xml:space="preserve"> </v>
      </c>
    </row>
    <row r="46" spans="2:21" x14ac:dyDescent="0.25">
      <c r="B46" s="10">
        <f t="shared" ca="1" si="1"/>
        <v>30</v>
      </c>
      <c r="C46" s="28">
        <f t="shared" ca="1" si="2"/>
        <v>46354</v>
      </c>
      <c r="D46" s="10">
        <f t="shared" ca="1" si="0"/>
        <v>31</v>
      </c>
      <c r="E46" s="17">
        <f t="shared" ca="1" si="8"/>
        <v>83329.845863028328</v>
      </c>
      <c r="F46" s="17">
        <f t="shared" ca="1" si="7"/>
        <v>5055.3077095434955</v>
      </c>
      <c r="G46" s="17">
        <f ca="1">IF(C46=" "," ",IF(C46=$D$9,$D$4-SUM($G$17:G45),($D$10-H46)))</f>
        <v>1248.1397542244194</v>
      </c>
      <c r="H46" s="17">
        <f t="shared" ca="1" si="5"/>
        <v>3807.1679553190761</v>
      </c>
      <c r="I46" s="10">
        <f t="shared" ca="1" si="4"/>
        <v>0</v>
      </c>
      <c r="U46" s="31" t="str">
        <f ca="1">IF(B45=$D$3,XIRR($F$16:F45,$C$16:C45)," ")</f>
        <v xml:space="preserve"> </v>
      </c>
    </row>
    <row r="47" spans="2:21" x14ac:dyDescent="0.25">
      <c r="B47" s="10">
        <f t="shared" ca="1" si="1"/>
        <v>31</v>
      </c>
      <c r="C47" s="28">
        <f t="shared" ca="1" si="2"/>
        <v>46384</v>
      </c>
      <c r="D47" s="10">
        <f t="shared" ca="1" si="0"/>
        <v>30</v>
      </c>
      <c r="E47" s="17">
        <f t="shared" ca="1" si="8"/>
        <v>81904.523219846888</v>
      </c>
      <c r="F47" s="17">
        <f t="shared" ca="1" si="7"/>
        <v>5055.3077095434955</v>
      </c>
      <c r="G47" s="17">
        <f ca="1">IF(C47=" "," ",IF(C47=$D$9,$D$4-SUM($G$17:G46),($D$10-H47)))</f>
        <v>1425.3226431814392</v>
      </c>
      <c r="H47" s="17">
        <f t="shared" ca="1" si="5"/>
        <v>3629.9850663620564</v>
      </c>
      <c r="I47" s="10">
        <f t="shared" ca="1" si="4"/>
        <v>0</v>
      </c>
      <c r="U47" s="31" t="str">
        <f ca="1">IF(B46=$D$3,XIRR($F$16:F46,$C$16:C46)," ")</f>
        <v xml:space="preserve"> </v>
      </c>
    </row>
    <row r="48" spans="2:21" x14ac:dyDescent="0.25">
      <c r="B48" s="10">
        <f t="shared" ca="1" si="1"/>
        <v>32</v>
      </c>
      <c r="C48" s="28">
        <f t="shared" ca="1" si="2"/>
        <v>46415</v>
      </c>
      <c r="D48" s="10">
        <f t="shared" ca="1" si="0"/>
        <v>31</v>
      </c>
      <c r="E48" s="17">
        <f t="shared" ca="1" si="8"/>
        <v>80536.041034966634</v>
      </c>
      <c r="F48" s="17">
        <f t="shared" ca="1" si="7"/>
        <v>5055.3077095434955</v>
      </c>
      <c r="G48" s="17">
        <f ca="1">IF(C48=" "," ",IF(C48=$D$9,$D$4-SUM($G$17:G47),($D$10-H48)))</f>
        <v>1368.4821848802503</v>
      </c>
      <c r="H48" s="17">
        <f t="shared" ca="1" si="5"/>
        <v>3686.8255246632452</v>
      </c>
      <c r="I48" s="10">
        <f t="shared" ca="1" si="4"/>
        <v>0</v>
      </c>
      <c r="U48" s="31" t="str">
        <f ca="1">IF(B47=$D$3,XIRR($F$16:F47,$C$16:C47)," ")</f>
        <v xml:space="preserve"> </v>
      </c>
    </row>
    <row r="49" spans="2:21" x14ac:dyDescent="0.25">
      <c r="B49" s="10">
        <f t="shared" ca="1" si="1"/>
        <v>33</v>
      </c>
      <c r="C49" s="28">
        <f t="shared" ca="1" si="2"/>
        <v>46446</v>
      </c>
      <c r="D49" s="10">
        <f t="shared" ca="1" si="0"/>
        <v>31</v>
      </c>
      <c r="E49" s="17">
        <f t="shared" ca="1" si="8"/>
        <v>79105.958405435478</v>
      </c>
      <c r="F49" s="17">
        <f t="shared" ca="1" si="7"/>
        <v>5055.3077095434955</v>
      </c>
      <c r="G49" s="17">
        <f ca="1">IF(C49=" "," ",IF(C49=$D$9,$D$4-SUM($G$17:G48),($D$10-H49)))</f>
        <v>1430.0826295311617</v>
      </c>
      <c r="H49" s="17">
        <f t="shared" ca="1" si="5"/>
        <v>3625.2250800123338</v>
      </c>
      <c r="I49" s="10">
        <f t="shared" ca="1" si="4"/>
        <v>0</v>
      </c>
      <c r="U49" s="31" t="str">
        <f ca="1">IF(B48=$D$3,XIRR($F$16:F48,$C$16:C48)," ")</f>
        <v xml:space="preserve"> </v>
      </c>
    </row>
    <row r="50" spans="2:21" x14ac:dyDescent="0.25">
      <c r="B50" s="10">
        <f t="shared" ca="1" si="1"/>
        <v>34</v>
      </c>
      <c r="C50" s="28">
        <f t="shared" ca="1" si="2"/>
        <v>46474</v>
      </c>
      <c r="D50" s="10">
        <f t="shared" ca="1" si="0"/>
        <v>28</v>
      </c>
      <c r="E50" s="17">
        <f t="shared" ca="1" si="8"/>
        <v>77266.903908869135</v>
      </c>
      <c r="F50" s="17">
        <f t="shared" ca="1" si="7"/>
        <v>5055.3077095434955</v>
      </c>
      <c r="G50" s="17">
        <f ca="1">IF(C50=" "," ",IF(C50=$D$9,$D$4-SUM($G$17:G49),($D$10-H50)))</f>
        <v>1839.0544965663375</v>
      </c>
      <c r="H50" s="17">
        <f t="shared" ca="1" si="5"/>
        <v>3216.253212977158</v>
      </c>
      <c r="I50" s="10">
        <f t="shared" ca="1" si="4"/>
        <v>0</v>
      </c>
      <c r="U50" s="31" t="str">
        <f ca="1">IF(B49=$D$3,XIRR($F$16:F49,$C$16:C49)," ")</f>
        <v xml:space="preserve"> </v>
      </c>
    </row>
    <row r="51" spans="2:21" x14ac:dyDescent="0.25">
      <c r="B51" s="10">
        <f t="shared" ca="1" si="1"/>
        <v>35</v>
      </c>
      <c r="C51" s="28">
        <f t="shared" ca="1" si="2"/>
        <v>46505</v>
      </c>
      <c r="D51" s="10">
        <f t="shared" ca="1" si="0"/>
        <v>31</v>
      </c>
      <c r="E51" s="17">
        <f t="shared" ca="1" si="8"/>
        <v>75689.665325963229</v>
      </c>
      <c r="F51" s="17">
        <f t="shared" ca="1" si="7"/>
        <v>5055.3077095434955</v>
      </c>
      <c r="G51" s="17">
        <f ca="1">IF(C51=" "," ",IF(C51=$D$9,$D$4-SUM($G$17:G50),($D$10-H51)))</f>
        <v>1577.2385829059067</v>
      </c>
      <c r="H51" s="17">
        <f t="shared" ca="1" si="5"/>
        <v>3478.0691266375889</v>
      </c>
      <c r="I51" s="10">
        <f t="shared" ca="1" si="4"/>
        <v>0</v>
      </c>
      <c r="U51" s="31" t="str">
        <f ca="1">IF(B50=$D$3,XIRR($F$16:F50,$C$16:C50)," ")</f>
        <v xml:space="preserve"> </v>
      </c>
    </row>
    <row r="52" spans="2:21" x14ac:dyDescent="0.25">
      <c r="B52" s="10">
        <f t="shared" ca="1" si="1"/>
        <v>36</v>
      </c>
      <c r="C52" s="28">
        <f t="shared" ca="1" si="2"/>
        <v>46535</v>
      </c>
      <c r="D52" s="10">
        <f t="shared" ca="1" si="0"/>
        <v>30</v>
      </c>
      <c r="E52" s="17">
        <f t="shared" ca="1" si="8"/>
        <v>73931.523859386347</v>
      </c>
      <c r="F52" s="17">
        <f t="shared" ca="1" si="7"/>
        <v>5055.3077095434955</v>
      </c>
      <c r="G52" s="17">
        <f ca="1">IF(C52=" "," ",IF(C52=$D$9,$D$4-SUM($G$17:G51),($D$10-H52)))</f>
        <v>1758.1414665768775</v>
      </c>
      <c r="H52" s="17">
        <f t="shared" ca="1" si="5"/>
        <v>3297.166242966618</v>
      </c>
      <c r="I52" s="10">
        <f t="shared" ca="1" si="4"/>
        <v>0</v>
      </c>
      <c r="U52" s="31" t="str">
        <f ca="1">IF(B51=$D$3,XIRR($F$16:F51,$C$16:C51)," ")</f>
        <v xml:space="preserve"> </v>
      </c>
    </row>
    <row r="53" spans="2:21" x14ac:dyDescent="0.25">
      <c r="B53" s="10">
        <f ca="1">IF(C53 =" "," ",B52+1)</f>
        <v>37</v>
      </c>
      <c r="C53" s="28">
        <f t="shared" ca="1" si="2"/>
        <v>46566</v>
      </c>
      <c r="D53" s="10">
        <f ca="1">IF(C53=" "," ",(C53-C52))</f>
        <v>31</v>
      </c>
      <c r="E53" s="17">
        <f t="shared" ca="1" si="8"/>
        <v>72204.147484116053</v>
      </c>
      <c r="F53" s="17">
        <f t="shared" ca="1" si="7"/>
        <v>5055.3077095434955</v>
      </c>
      <c r="G53" s="17">
        <f ca="1">IF(C53=" "," ",IF(C53=$D$9,$D$4-SUM($G$17:G52),($D$10-H53)))</f>
        <v>1727.3763752702962</v>
      </c>
      <c r="H53" s="17">
        <f t="shared" ca="1" si="5"/>
        <v>3327.9313342731994</v>
      </c>
      <c r="I53" s="10">
        <f t="shared" ca="1" si="4"/>
        <v>0</v>
      </c>
      <c r="U53" s="31" t="str">
        <f ca="1">IF(B52=$D$3,XIRR($F$16:F52,$C$16:C52)," ")</f>
        <v xml:space="preserve"> </v>
      </c>
    </row>
    <row r="54" spans="2:21" x14ac:dyDescent="0.25">
      <c r="B54" s="10">
        <f t="shared" ref="B54:B87" ca="1" si="9">IF(C54 =" "," ",B53+1)</f>
        <v>38</v>
      </c>
      <c r="C54" s="28">
        <f t="shared" ca="1" si="2"/>
        <v>46596</v>
      </c>
      <c r="D54" s="10">
        <f t="shared" ref="D54:D87" ca="1" si="10">IF(C54=" "," ",(C54-C53))</f>
        <v>30</v>
      </c>
      <c r="E54" s="17">
        <f t="shared" ca="1" si="8"/>
        <v>70294.171130729941</v>
      </c>
      <c r="F54" s="17">
        <f t="shared" ca="1" si="7"/>
        <v>5055.3077095434955</v>
      </c>
      <c r="G54" s="17">
        <f ca="1">IF(C54=" "," ",IF(C54=$D$9,$D$4-SUM($G$17:G53),($D$10-H54)))</f>
        <v>1909.9763533861114</v>
      </c>
      <c r="H54" s="17">
        <f t="shared" ca="1" si="5"/>
        <v>3145.3313561573841</v>
      </c>
      <c r="I54" s="10">
        <f t="shared" ca="1" si="4"/>
        <v>0</v>
      </c>
      <c r="U54" s="31" t="str">
        <f ca="1">IF(B53=$D$3,XIRR($F$16:F53,$C$16:C53)," ")</f>
        <v xml:space="preserve"> </v>
      </c>
    </row>
    <row r="55" spans="2:21" x14ac:dyDescent="0.25">
      <c r="B55" s="10">
        <f t="shared" ca="1" si="9"/>
        <v>39</v>
      </c>
      <c r="C55" s="28">
        <f t="shared" ca="1" si="2"/>
        <v>46627</v>
      </c>
      <c r="D55" s="10">
        <f t="shared" ca="1" si="10"/>
        <v>31</v>
      </c>
      <c r="E55" s="17">
        <f t="shared" ca="1" si="8"/>
        <v>68403.064055920404</v>
      </c>
      <c r="F55" s="17">
        <f t="shared" ca="1" si="7"/>
        <v>5055.3077095434955</v>
      </c>
      <c r="G55" s="17">
        <f ca="1">IF(C55=" "," ",IF(C55=$D$9,$D$4-SUM($G$17:G54),($D$10-H55)))</f>
        <v>1891.1070748095426</v>
      </c>
      <c r="H55" s="17">
        <f t="shared" ca="1" si="5"/>
        <v>3164.2006347339529</v>
      </c>
      <c r="I55" s="10">
        <f t="shared" ca="1" si="4"/>
        <v>0</v>
      </c>
      <c r="U55" s="31" t="str">
        <f ca="1">IF(B54=$D$3,XIRR($F$16:F54,$C$16:C54)," ")</f>
        <v xml:space="preserve"> </v>
      </c>
    </row>
    <row r="56" spans="2:21" x14ac:dyDescent="0.25">
      <c r="B56" s="10">
        <f t="shared" ca="1" si="9"/>
        <v>40</v>
      </c>
      <c r="C56" s="28">
        <f t="shared" ca="1" si="2"/>
        <v>46658</v>
      </c>
      <c r="D56" s="10">
        <f t="shared" ca="1" si="10"/>
        <v>31</v>
      </c>
      <c r="E56" s="17">
        <f t="shared" ca="1" si="8"/>
        <v>66426.831257168058</v>
      </c>
      <c r="F56" s="17">
        <f t="shared" ca="1" si="7"/>
        <v>5055.3077095434955</v>
      </c>
      <c r="G56" s="17">
        <f ca="1">IF(C56=" "," ",IF(C56=$D$9,$D$4-SUM($G$17:G55),($D$10-H56)))</f>
        <v>1976.2327987523386</v>
      </c>
      <c r="H56" s="17">
        <f t="shared" ca="1" si="5"/>
        <v>3079.074910791157</v>
      </c>
      <c r="I56" s="10">
        <f t="shared" ca="1" si="4"/>
        <v>0</v>
      </c>
      <c r="U56" s="31" t="str">
        <f ca="1">IF(B55=$D$3,XIRR($F$16:F55,$C$16:C55)," ")</f>
        <v xml:space="preserve"> </v>
      </c>
    </row>
    <row r="57" spans="2:21" x14ac:dyDescent="0.25">
      <c r="B57" s="10">
        <f t="shared" ca="1" si="9"/>
        <v>41</v>
      </c>
      <c r="C57" s="28">
        <f t="shared" ca="1" si="2"/>
        <v>46688</v>
      </c>
      <c r="D57" s="10">
        <f t="shared" ca="1" si="10"/>
        <v>30</v>
      </c>
      <c r="E57" s="17">
        <f t="shared" ca="1" si="8"/>
        <v>64265.185511977914</v>
      </c>
      <c r="F57" s="17">
        <f t="shared" ca="1" si="7"/>
        <v>5055.3077095434955</v>
      </c>
      <c r="G57" s="17">
        <f ca="1">IF(C57=" "," ",IF(C57=$D$9,$D$4-SUM($G$17:G56),($D$10-H57)))</f>
        <v>2161.645745190147</v>
      </c>
      <c r="H57" s="17">
        <f t="shared" ca="1" si="5"/>
        <v>2893.6619643533486</v>
      </c>
      <c r="I57" s="10">
        <f t="shared" ca="1" si="4"/>
        <v>0</v>
      </c>
      <c r="U57" s="31" t="str">
        <f ca="1">IF(B56=$D$3,XIRR($F$16:F56,$C$16:C56)," ")</f>
        <v xml:space="preserve"> </v>
      </c>
    </row>
    <row r="58" spans="2:21" x14ac:dyDescent="0.25">
      <c r="B58" s="10">
        <f t="shared" ca="1" si="9"/>
        <v>42</v>
      </c>
      <c r="C58" s="28">
        <f t="shared" ca="1" si="2"/>
        <v>46719</v>
      </c>
      <c r="D58" s="10">
        <f t="shared" ca="1" si="10"/>
        <v>31</v>
      </c>
      <c r="E58" s="17">
        <f t="shared" ca="1" si="8"/>
        <v>62102.691495480438</v>
      </c>
      <c r="F58" s="17">
        <f t="shared" ca="1" si="7"/>
        <v>5055.3077095434955</v>
      </c>
      <c r="G58" s="17">
        <f ca="1">IF(C58=" "," ",IF(C58=$D$9,$D$4-SUM($G$17:G57),($D$10-H58)))</f>
        <v>2162.4940164974764</v>
      </c>
      <c r="H58" s="17">
        <f t="shared" ca="1" si="5"/>
        <v>2892.8136930460191</v>
      </c>
      <c r="I58" s="10">
        <f t="shared" ca="1" si="4"/>
        <v>0</v>
      </c>
      <c r="U58" s="31" t="str">
        <f ca="1">IF(B57=$D$3,XIRR($F$16:F57,$C$16:C57)," ")</f>
        <v xml:space="preserve"> </v>
      </c>
    </row>
    <row r="59" spans="2:21" x14ac:dyDescent="0.25">
      <c r="B59" s="10">
        <f t="shared" ca="1" si="9"/>
        <v>43</v>
      </c>
      <c r="C59" s="28">
        <f t="shared" ca="1" si="2"/>
        <v>46749</v>
      </c>
      <c r="D59" s="10">
        <f t="shared" ca="1" si="10"/>
        <v>30</v>
      </c>
      <c r="E59" s="17">
        <f t="shared" ca="1" si="8"/>
        <v>59752.67911409623</v>
      </c>
      <c r="F59" s="17">
        <f t="shared" ca="1" si="7"/>
        <v>5055.3077095434955</v>
      </c>
      <c r="G59" s="17">
        <f ca="1">IF(C59=" "," ",IF(C59=$D$9,$D$4-SUM($G$17:G58),($D$10-H59)))</f>
        <v>2350.012381384211</v>
      </c>
      <c r="H59" s="17">
        <f t="shared" ca="1" si="5"/>
        <v>2705.2953281592845</v>
      </c>
      <c r="I59" s="10">
        <f t="shared" ca="1" si="4"/>
        <v>0</v>
      </c>
      <c r="U59" s="31" t="str">
        <f ca="1">IF(B58=$D$3,XIRR($F$16:F58,$C$16:C58)," ")</f>
        <v xml:space="preserve"> </v>
      </c>
    </row>
    <row r="60" spans="2:21" x14ac:dyDescent="0.25">
      <c r="B60" s="10">
        <f t="shared" ca="1" si="9"/>
        <v>44</v>
      </c>
      <c r="C60" s="28">
        <f t="shared" ca="1" si="2"/>
        <v>46780</v>
      </c>
      <c r="D60" s="10">
        <f t="shared" ca="1" si="10"/>
        <v>31</v>
      </c>
      <c r="E60" s="17">
        <f t="shared" ca="1" si="8"/>
        <v>57387.060494537945</v>
      </c>
      <c r="F60" s="17">
        <f t="shared" ca="1" si="7"/>
        <v>5055.3077095434955</v>
      </c>
      <c r="G60" s="17">
        <f ca="1">IF(C60=" "," ",IF(C60=$D$9,$D$4-SUM($G$17:G59),($D$10-H60)))</f>
        <v>2365.6186195582868</v>
      </c>
      <c r="H60" s="17">
        <f t="shared" ca="1" si="5"/>
        <v>2689.6890899852087</v>
      </c>
      <c r="I60" s="10">
        <f t="shared" ca="1" si="4"/>
        <v>0</v>
      </c>
      <c r="U60" s="31" t="str">
        <f ca="1">IF(B59=$D$3,XIRR($F$16:F59,$C$16:C59)," ")</f>
        <v xml:space="preserve"> </v>
      </c>
    </row>
    <row r="61" spans="2:21" x14ac:dyDescent="0.25">
      <c r="B61" s="10">
        <f t="shared" ca="1" si="9"/>
        <v>45</v>
      </c>
      <c r="C61" s="28">
        <f t="shared" ca="1" si="2"/>
        <v>46811</v>
      </c>
      <c r="D61" s="10">
        <f t="shared" ca="1" si="10"/>
        <v>31</v>
      </c>
      <c r="E61" s="17">
        <f t="shared" ca="1" si="8"/>
        <v>54914.956631365021</v>
      </c>
      <c r="F61" s="17">
        <f t="shared" ca="1" si="7"/>
        <v>5055.3077095434955</v>
      </c>
      <c r="G61" s="17">
        <f ca="1">IF(C61=" "," ",IF(C61=$D$9,$D$4-SUM($G$17:G60),($D$10-H61)))</f>
        <v>2472.1038631729243</v>
      </c>
      <c r="H61" s="17">
        <f t="shared" ca="1" si="5"/>
        <v>2583.2038463705712</v>
      </c>
      <c r="I61" s="10">
        <f t="shared" ca="1" si="4"/>
        <v>0</v>
      </c>
      <c r="U61" s="31" t="str">
        <f ca="1">IF(B60=$D$3,XIRR($F$16:F60,$C$16:C60)," ")</f>
        <v xml:space="preserve"> </v>
      </c>
    </row>
    <row r="62" spans="2:21" x14ac:dyDescent="0.25">
      <c r="B62" s="10">
        <f t="shared" ca="1" si="9"/>
        <v>46</v>
      </c>
      <c r="C62" s="28">
        <f t="shared" ca="1" si="2"/>
        <v>46840</v>
      </c>
      <c r="D62" s="10">
        <f t="shared" ca="1" si="10"/>
        <v>29</v>
      </c>
      <c r="E62" s="17">
        <f t="shared" ca="1" si="8"/>
        <v>52172.095177777912</v>
      </c>
      <c r="F62" s="17">
        <f t="shared" ca="1" si="7"/>
        <v>5055.3077095434955</v>
      </c>
      <c r="G62" s="17">
        <f ca="1">IF(C62=" "," ",IF(C62=$D$9,$D$4-SUM($G$17:G61),($D$10-H62)))</f>
        <v>2742.8614535871106</v>
      </c>
      <c r="H62" s="17">
        <f t="shared" ca="1" si="5"/>
        <v>2312.4462559563849</v>
      </c>
      <c r="I62" s="10">
        <f t="shared" ca="1" si="4"/>
        <v>0</v>
      </c>
      <c r="U62" s="31" t="str">
        <f ca="1">IF(B61=$D$3,XIRR($F$16:F61,$C$16:C61)," ")</f>
        <v xml:space="preserve"> </v>
      </c>
    </row>
    <row r="63" spans="2:21" x14ac:dyDescent="0.25">
      <c r="B63" s="10">
        <f t="shared" ca="1" si="9"/>
        <v>47</v>
      </c>
      <c r="C63" s="28">
        <f t="shared" ca="1" si="2"/>
        <v>46871</v>
      </c>
      <c r="D63" s="10">
        <f t="shared" ca="1" si="10"/>
        <v>31</v>
      </c>
      <c r="E63" s="17">
        <f t="shared" ca="1" si="8"/>
        <v>49465.246437469737</v>
      </c>
      <c r="F63" s="17">
        <f t="shared" ca="1" si="7"/>
        <v>5055.3077095434955</v>
      </c>
      <c r="G63" s="17">
        <f ca="1">IF(C63=" "," ",IF(C63=$D$9,$D$4-SUM($G$17:G62),($D$10-H63)))</f>
        <v>2706.8487403081772</v>
      </c>
      <c r="H63" s="17">
        <f t="shared" ca="1" si="5"/>
        <v>2348.4589692353184</v>
      </c>
      <c r="I63" s="10">
        <f t="shared" ca="1" si="4"/>
        <v>0</v>
      </c>
      <c r="U63" s="31" t="str">
        <f ca="1">IF(B62=$D$3,XIRR($F$16:F62,$C$16:C62)," ")</f>
        <v xml:space="preserve"> </v>
      </c>
    </row>
    <row r="64" spans="2:21" x14ac:dyDescent="0.25">
      <c r="B64" s="10">
        <f t="shared" ca="1" si="9"/>
        <v>48</v>
      </c>
      <c r="C64" s="28">
        <f t="shared" ca="1" si="2"/>
        <v>46901</v>
      </c>
      <c r="D64" s="10">
        <f t="shared" ca="1" si="10"/>
        <v>30</v>
      </c>
      <c r="E64" s="17">
        <f t="shared" ca="1" si="8"/>
        <v>46564.726175476295</v>
      </c>
      <c r="F64" s="17">
        <f t="shared" ca="1" si="7"/>
        <v>5055.3077095434955</v>
      </c>
      <c r="G64" s="17">
        <f ca="1">IF(C64=" "," ",IF(C64=$D$9,$D$4-SUM($G$17:G63),($D$10-H64)))</f>
        <v>2900.5202619934439</v>
      </c>
      <c r="H64" s="17">
        <f t="shared" ca="1" si="5"/>
        <v>2154.7874475500516</v>
      </c>
      <c r="I64" s="10">
        <f t="shared" ca="1" si="4"/>
        <v>0</v>
      </c>
      <c r="U64" s="31" t="str">
        <f ca="1">IF(B63=$D$3,XIRR($F$16:F63,$C$16:C63)," ")</f>
        <v xml:space="preserve"> </v>
      </c>
    </row>
    <row r="65" spans="2:21" x14ac:dyDescent="0.25">
      <c r="B65" s="10">
        <f t="shared" ca="1" si="9"/>
        <v>49</v>
      </c>
      <c r="C65" s="28">
        <f t="shared" ca="1" si="2"/>
        <v>46932</v>
      </c>
      <c r="D65" s="10">
        <f t="shared" ca="1" si="10"/>
        <v>31</v>
      </c>
      <c r="E65" s="17">
        <f t="shared" ca="1" si="8"/>
        <v>43605.469016790543</v>
      </c>
      <c r="F65" s="17">
        <f t="shared" ca="1" si="7"/>
        <v>5055.3077095434955</v>
      </c>
      <c r="G65" s="17">
        <f ca="1">IF(C65=" "," ",IF(C65=$D$9,$D$4-SUM($G$17:G64),($D$10-H65)))</f>
        <v>2959.2571586857543</v>
      </c>
      <c r="H65" s="17">
        <f t="shared" ca="1" si="5"/>
        <v>2096.0505508577412</v>
      </c>
      <c r="I65" s="10">
        <f t="shared" ca="1" si="4"/>
        <v>0</v>
      </c>
      <c r="U65" s="31" t="str">
        <f ca="1">IF(B64=$D$3,XIRR($F$16:F64,$C$16:C64)," ")</f>
        <v xml:space="preserve"> </v>
      </c>
    </row>
    <row r="66" spans="2:21" x14ac:dyDescent="0.25">
      <c r="B66" s="10">
        <f t="shared" ca="1" si="9"/>
        <v>50</v>
      </c>
      <c r="C66" s="28">
        <f t="shared" ca="1" si="2"/>
        <v>46962</v>
      </c>
      <c r="D66" s="10">
        <f t="shared" ca="1" si="10"/>
        <v>30</v>
      </c>
      <c r="E66" s="17">
        <f t="shared" ca="1" si="8"/>
        <v>40449.687217841485</v>
      </c>
      <c r="F66" s="17">
        <f t="shared" ca="1" si="7"/>
        <v>5055.3077095434955</v>
      </c>
      <c r="G66" s="17">
        <f ca="1">IF(C66=" "," ",IF(C66=$D$9,$D$4-SUM($G$17:G65),($D$10-H66)))</f>
        <v>3155.7817989490582</v>
      </c>
      <c r="H66" s="17">
        <f t="shared" ca="1" si="5"/>
        <v>1899.5259105944374</v>
      </c>
      <c r="I66" s="10">
        <f t="shared" ca="1" si="4"/>
        <v>0</v>
      </c>
      <c r="U66" s="31" t="str">
        <f ca="1">IF(B65=$D$3,XIRR($F$16:F65,$C$16:C65)," ")</f>
        <v xml:space="preserve"> </v>
      </c>
    </row>
    <row r="67" spans="2:21" x14ac:dyDescent="0.25">
      <c r="B67" s="10">
        <f t="shared" ca="1" si="9"/>
        <v>51</v>
      </c>
      <c r="C67" s="28">
        <f t="shared" ca="1" si="2"/>
        <v>46993</v>
      </c>
      <c r="D67" s="10">
        <f t="shared" ca="1" si="10"/>
        <v>31</v>
      </c>
      <c r="E67" s="17">
        <f t="shared" ca="1" si="8"/>
        <v>37215.169538405207</v>
      </c>
      <c r="F67" s="17">
        <f t="shared" ca="1" si="7"/>
        <v>5055.3077095434955</v>
      </c>
      <c r="G67" s="17">
        <f ca="1">IF(C67=" "," ",IF(C67=$D$9,$D$4-SUM($G$17:G66),($D$10-H67)))</f>
        <v>3234.5176794362751</v>
      </c>
      <c r="H67" s="17">
        <f t="shared" ca="1" si="5"/>
        <v>1820.7900301072207</v>
      </c>
      <c r="I67" s="10">
        <f t="shared" ca="1" si="4"/>
        <v>0</v>
      </c>
      <c r="U67" s="31" t="str">
        <f ca="1">IF(B66=$D$3,XIRR($F$16:F66,$C$16:C66)," ")</f>
        <v xml:space="preserve"> </v>
      </c>
    </row>
    <row r="68" spans="2:21" x14ac:dyDescent="0.25">
      <c r="B68" s="10">
        <f t="shared" ca="1" si="9"/>
        <v>52</v>
      </c>
      <c r="C68" s="28">
        <f t="shared" ca="1" si="2"/>
        <v>47024</v>
      </c>
      <c r="D68" s="10">
        <f t="shared" ca="1" si="10"/>
        <v>31</v>
      </c>
      <c r="E68" s="17">
        <f t="shared" ca="1" si="8"/>
        <v>33835.05425493294</v>
      </c>
      <c r="F68" s="17">
        <f t="shared" ca="1" si="7"/>
        <v>5055.3077095434955</v>
      </c>
      <c r="G68" s="17">
        <f ca="1">IF(C68=" "," ",IF(C68=$D$9,$D$4-SUM($G$17:G67),($D$10-H68)))</f>
        <v>3380.1152834722698</v>
      </c>
      <c r="H68" s="17">
        <f t="shared" ca="1" si="5"/>
        <v>1675.192426071226</v>
      </c>
      <c r="I68" s="10">
        <f t="shared" ca="1" si="4"/>
        <v>0</v>
      </c>
      <c r="U68" s="31" t="str">
        <f ca="1">IF(B67=$D$3,XIRR($F$16:F67,$C$16:C67)," ")</f>
        <v xml:space="preserve"> </v>
      </c>
    </row>
    <row r="69" spans="2:21" x14ac:dyDescent="0.25">
      <c r="B69" s="10">
        <f t="shared" ca="1" si="9"/>
        <v>53</v>
      </c>
      <c r="C69" s="28">
        <f t="shared" ca="1" si="2"/>
        <v>47054</v>
      </c>
      <c r="D69" s="10">
        <f t="shared" ca="1" si="10"/>
        <v>30</v>
      </c>
      <c r="E69" s="17">
        <f t="shared" ca="1" si="8"/>
        <v>30253.657128001592</v>
      </c>
      <c r="F69" s="17">
        <f t="shared" ca="1" si="7"/>
        <v>5055.3077095434955</v>
      </c>
      <c r="G69" s="17">
        <f ca="1">IF(C69=" "," ",IF(C69=$D$9,$D$4-SUM($G$17:G68),($D$10-H69)))</f>
        <v>3581.3971269313479</v>
      </c>
      <c r="H69" s="17">
        <f t="shared" ca="1" si="5"/>
        <v>1473.9105826121474</v>
      </c>
      <c r="I69" s="10">
        <f t="shared" ca="1" si="4"/>
        <v>0</v>
      </c>
      <c r="U69" s="31" t="str">
        <f ca="1">IF(B68=$D$3,XIRR($F$16:F68,$C$16:C68)," ")</f>
        <v xml:space="preserve"> </v>
      </c>
    </row>
    <row r="70" spans="2:21" x14ac:dyDescent="0.25">
      <c r="B70" s="10">
        <f t="shared" ca="1" si="9"/>
        <v>54</v>
      </c>
      <c r="C70" s="28">
        <f t="shared" ca="1" si="2"/>
        <v>47085</v>
      </c>
      <c r="D70" s="10">
        <f t="shared" ca="1" si="10"/>
        <v>31</v>
      </c>
      <c r="E70" s="17">
        <f t="shared" ca="1" si="8"/>
        <v>26560.178422877456</v>
      </c>
      <c r="F70" s="17">
        <f t="shared" ca="1" si="7"/>
        <v>5055.3077095434955</v>
      </c>
      <c r="G70" s="17">
        <f ca="1">IF(C70=" "," ",IF(C70=$D$9,$D$4-SUM($G$17:G69),($D$10-H70)))</f>
        <v>3693.478705124136</v>
      </c>
      <c r="H70" s="17">
        <f t="shared" ca="1" si="5"/>
        <v>1361.8290044193595</v>
      </c>
      <c r="I70" s="10">
        <f t="shared" ca="1" si="4"/>
        <v>0</v>
      </c>
      <c r="U70" s="31" t="str">
        <f ca="1">IF(B69=$D$3,XIRR($F$16:F69,$C$16:C69)," ")</f>
        <v xml:space="preserve"> </v>
      </c>
    </row>
    <row r="71" spans="2:21" x14ac:dyDescent="0.25">
      <c r="B71" s="10">
        <f t="shared" ca="1" si="9"/>
        <v>55</v>
      </c>
      <c r="C71" s="28">
        <f t="shared" ca="1" si="2"/>
        <v>47115</v>
      </c>
      <c r="D71" s="10">
        <f t="shared" ca="1" si="10"/>
        <v>30</v>
      </c>
      <c r="E71" s="17">
        <f t="shared" ca="1" si="8"/>
        <v>22661.875746001773</v>
      </c>
      <c r="F71" s="17">
        <f t="shared" ca="1" si="7"/>
        <v>5055.3077095434955</v>
      </c>
      <c r="G71" s="17">
        <f ca="1">IF(C71=" "," ",IF(C71=$D$9,$D$4-SUM($G$17:G70),($D$10-H71)))</f>
        <v>3898.3026768756831</v>
      </c>
      <c r="H71" s="17">
        <f t="shared" ca="1" si="5"/>
        <v>1157.0050326678124</v>
      </c>
      <c r="I71" s="10">
        <f t="shared" ca="1" si="4"/>
        <v>0</v>
      </c>
      <c r="U71" s="31" t="str">
        <f ca="1">IF(B70=$D$3,XIRR($F$16:F70,$C$16:C70)," ")</f>
        <v xml:space="preserve"> </v>
      </c>
    </row>
    <row r="72" spans="2:21" x14ac:dyDescent="0.25">
      <c r="B72" s="10">
        <f t="shared" ca="1" si="9"/>
        <v>56</v>
      </c>
      <c r="C72" s="28">
        <f t="shared" ca="1" si="2"/>
        <v>47146</v>
      </c>
      <c r="D72" s="10">
        <f t="shared" ca="1" si="10"/>
        <v>31</v>
      </c>
      <c r="E72" s="17">
        <f t="shared" ca="1" si="8"/>
        <v>18626.662881682412</v>
      </c>
      <c r="F72" s="17">
        <f t="shared" ca="1" si="7"/>
        <v>5055.3077095434955</v>
      </c>
      <c r="G72" s="17">
        <f ca="1">IF(C72=" "," ",IF(C72=$D$9,$D$4-SUM($G$17:G71),($D$10-H72)))</f>
        <v>4035.212864319361</v>
      </c>
      <c r="H72" s="17">
        <f t="shared" ca="1" si="5"/>
        <v>1020.0948452241346</v>
      </c>
      <c r="I72" s="10">
        <f t="shared" ca="1" si="4"/>
        <v>0</v>
      </c>
      <c r="U72" s="31" t="str">
        <f ca="1">IF(B71=$D$3,XIRR($F$16:F71,$C$16:C71)," ")</f>
        <v xml:space="preserve"> </v>
      </c>
    </row>
    <row r="73" spans="2:21" x14ac:dyDescent="0.25">
      <c r="B73" s="10">
        <f t="shared" ca="1" si="9"/>
        <v>57</v>
      </c>
      <c r="C73" s="28">
        <f t="shared" ca="1" si="2"/>
        <v>47177</v>
      </c>
      <c r="D73" s="10">
        <f t="shared" ca="1" si="10"/>
        <v>31</v>
      </c>
      <c r="E73" s="17">
        <f t="shared" ca="1" si="8"/>
        <v>14409.810161580128</v>
      </c>
      <c r="F73" s="17">
        <f t="shared" ca="1" si="7"/>
        <v>5055.3077095434955</v>
      </c>
      <c r="G73" s="17">
        <f ca="1">IF(C73=" "," ",IF(C73=$D$9,$D$4-SUM($G$17:G72),($D$10-H73)))</f>
        <v>4216.8527201022844</v>
      </c>
      <c r="H73" s="17">
        <f t="shared" ca="1" si="5"/>
        <v>838.45498944121118</v>
      </c>
      <c r="I73" s="10">
        <f t="shared" ca="1" si="4"/>
        <v>0</v>
      </c>
      <c r="U73" s="31" t="str">
        <f ca="1">IF(B72=$D$3,XIRR($F$16:F72,$C$16:C72)," ")</f>
        <v xml:space="preserve"> </v>
      </c>
    </row>
    <row r="74" spans="2:21" x14ac:dyDescent="0.25">
      <c r="B74" s="10">
        <f t="shared" ca="1" si="9"/>
        <v>58</v>
      </c>
      <c r="C74" s="28">
        <f t="shared" ca="1" si="2"/>
        <v>47205</v>
      </c>
      <c r="D74" s="10">
        <f t="shared" ca="1" si="10"/>
        <v>28</v>
      </c>
      <c r="E74" s="17">
        <f t="shared" ca="1" si="8"/>
        <v>9940.3698021677264</v>
      </c>
      <c r="F74" s="17">
        <f t="shared" ca="1" si="7"/>
        <v>5055.3077095434955</v>
      </c>
      <c r="G74" s="17">
        <f ca="1">IF(C74=" "," ",IF(C74=$D$9,$D$4-SUM($G$17:G73),($D$10-H74)))</f>
        <v>4469.4403594124024</v>
      </c>
      <c r="H74" s="17">
        <f t="shared" ca="1" si="5"/>
        <v>585.86735013109342</v>
      </c>
      <c r="I74" s="10">
        <f t="shared" ca="1" si="4"/>
        <v>0</v>
      </c>
      <c r="U74" s="31" t="str">
        <f ca="1">IF(B73=$D$3,XIRR($F$16:F73,$C$16:C73)," ")</f>
        <v xml:space="preserve"> </v>
      </c>
    </row>
    <row r="75" spans="2:21" x14ac:dyDescent="0.25">
      <c r="B75" s="10">
        <f t="shared" ca="1" si="9"/>
        <v>59</v>
      </c>
      <c r="C75" s="28">
        <f t="shared" ca="1" si="2"/>
        <v>47236</v>
      </c>
      <c r="D75" s="10">
        <f t="shared" ca="1" si="10"/>
        <v>31</v>
      </c>
      <c r="E75" s="17">
        <f t="shared" ca="1" si="8"/>
        <v>5332.5149031711235</v>
      </c>
      <c r="F75" s="17">
        <f t="shared" ca="1" si="7"/>
        <v>5055.3077095434955</v>
      </c>
      <c r="G75" s="17">
        <f ca="1">IF(C75=" "," ",IF(C75=$D$9,$D$4-SUM($G$17:G74),($D$10-H75)))</f>
        <v>4607.854898996603</v>
      </c>
      <c r="H75" s="17">
        <f t="shared" ca="1" si="5"/>
        <v>447.45281054689247</v>
      </c>
      <c r="I75" s="10">
        <f t="shared" ca="1" si="4"/>
        <v>0</v>
      </c>
      <c r="U75" s="31" t="str">
        <f ca="1">IF(B74=$D$3,XIRR($F$16:F74,$C$16:C74)," ")</f>
        <v xml:space="preserve"> </v>
      </c>
    </row>
    <row r="76" spans="2:21" x14ac:dyDescent="0.25">
      <c r="B76" s="10">
        <f t="shared" ca="1" si="9"/>
        <v>60</v>
      </c>
      <c r="C76" s="28">
        <f t="shared" ca="1" si="2"/>
        <v>47266</v>
      </c>
      <c r="D76" s="10">
        <f t="shared" ca="1" si="10"/>
        <v>30</v>
      </c>
      <c r="E76" s="17">
        <f t="shared" ca="1" si="8"/>
        <v>509.50030858768514</v>
      </c>
      <c r="F76" s="17">
        <f t="shared" ca="1" si="7"/>
        <v>5055.3077095434955</v>
      </c>
      <c r="G76" s="17">
        <f ca="1">IF(C76=" "," ",IF(C76=$D$9,$D$4-SUM($G$17:G75),($D$10-H76)))</f>
        <v>4823.0145945834383</v>
      </c>
      <c r="H76" s="17">
        <f t="shared" ca="1" si="5"/>
        <v>232.29311496005715</v>
      </c>
      <c r="I76" s="10">
        <f t="shared" ca="1" si="4"/>
        <v>0</v>
      </c>
      <c r="U76" s="31" t="str">
        <f ca="1">IF(B75=$D$3,XIRR($F$16:F75,$C$16:C75)," ")</f>
        <v xml:space="preserve"> </v>
      </c>
    </row>
    <row r="77" spans="2:21" x14ac:dyDescent="0.25">
      <c r="B77" s="10" t="str">
        <f t="shared" ca="1" si="9"/>
        <v xml:space="preserve"> </v>
      </c>
      <c r="C77" s="28" t="str">
        <f t="shared" ca="1" si="2"/>
        <v xml:space="preserve"> </v>
      </c>
      <c r="D77" s="10" t="str">
        <f t="shared" ca="1" si="10"/>
        <v xml:space="preserve"> </v>
      </c>
      <c r="E77" s="17" t="str">
        <f t="shared" ca="1" si="8"/>
        <v xml:space="preserve"> </v>
      </c>
      <c r="F77" s="17" t="str">
        <f t="shared" ca="1" si="7"/>
        <v xml:space="preserve"> </v>
      </c>
      <c r="G77" s="17" t="str">
        <f ca="1">IF(C77=" "," ",IF(C77=$D$9,$D$5-SUM($G$17:G76),($D$10-H77)))</f>
        <v xml:space="preserve"> </v>
      </c>
      <c r="H77" s="17" t="str">
        <f t="shared" ca="1" si="5"/>
        <v xml:space="preserve"> </v>
      </c>
      <c r="I77" s="10" t="str">
        <f t="shared" ca="1" si="4"/>
        <v xml:space="preserve"> </v>
      </c>
      <c r="U77" s="31">
        <f ca="1">IF(B76=$D$3,XIRR($F$16:F76,$C$16:C76)," ")</f>
        <v>0.74304066896438603</v>
      </c>
    </row>
    <row r="78" spans="2:21" x14ac:dyDescent="0.25">
      <c r="B78" s="10" t="str">
        <f t="shared" ca="1" si="9"/>
        <v xml:space="preserve"> </v>
      </c>
      <c r="C78" s="28" t="str">
        <f t="shared" ca="1" si="2"/>
        <v xml:space="preserve"> </v>
      </c>
      <c r="D78" s="10" t="str">
        <f t="shared" ca="1" si="10"/>
        <v xml:space="preserve"> </v>
      </c>
      <c r="E78" s="17" t="str">
        <f t="shared" ca="1" si="8"/>
        <v xml:space="preserve"> </v>
      </c>
      <c r="F78" s="17" t="str">
        <f t="shared" ca="1" si="7"/>
        <v xml:space="preserve"> </v>
      </c>
      <c r="G78" s="17" t="str">
        <f ca="1">IF(C78=" "," ",IF(C78=$D$9,$D$5-SUM($G$17:G77),($D$10-H78)))</f>
        <v xml:space="preserve"> </v>
      </c>
      <c r="H78" s="17" t="str">
        <f t="shared" ca="1" si="5"/>
        <v xml:space="preserve"> </v>
      </c>
      <c r="I78" s="10" t="str">
        <f t="shared" ca="1" si="4"/>
        <v xml:space="preserve"> </v>
      </c>
      <c r="U78" s="31" t="str">
        <f ca="1">IF(B77=$D$3,XIRR($F$16:F77,$C$16:C77)," ")</f>
        <v xml:space="preserve"> </v>
      </c>
    </row>
    <row r="79" spans="2:21" x14ac:dyDescent="0.25">
      <c r="B79" s="10" t="str">
        <f t="shared" ca="1" si="9"/>
        <v xml:space="preserve"> </v>
      </c>
      <c r="C79" s="28" t="str">
        <f t="shared" ca="1" si="2"/>
        <v xml:space="preserve"> </v>
      </c>
      <c r="D79" s="10" t="str">
        <f t="shared" ca="1" si="10"/>
        <v xml:space="preserve"> </v>
      </c>
      <c r="E79" s="17" t="str">
        <f t="shared" ca="1" si="8"/>
        <v xml:space="preserve"> </v>
      </c>
      <c r="F79" s="17" t="str">
        <f t="shared" ca="1" si="7"/>
        <v xml:space="preserve"> </v>
      </c>
      <c r="G79" s="17" t="str">
        <f ca="1">IF(C79=" "," ",IF(C79=$D$9,$D$5-SUM($G$17:G78),($D$10-H79)))</f>
        <v xml:space="preserve"> </v>
      </c>
      <c r="H79" s="17" t="str">
        <f t="shared" ca="1" si="5"/>
        <v xml:space="preserve"> </v>
      </c>
      <c r="I79" s="10" t="str">
        <f t="shared" ca="1" si="4"/>
        <v xml:space="preserve"> </v>
      </c>
      <c r="U79" s="31" t="str">
        <f ca="1">IF(B78=$D$3,XIRR($F$16:F78,$C$16:C78)," ")</f>
        <v xml:space="preserve"> </v>
      </c>
    </row>
    <row r="80" spans="2:21" x14ac:dyDescent="0.25">
      <c r="B80" s="10" t="str">
        <f t="shared" ca="1" si="9"/>
        <v xml:space="preserve"> </v>
      </c>
      <c r="C80" s="28" t="str">
        <f t="shared" ca="1" si="2"/>
        <v xml:space="preserve"> </v>
      </c>
      <c r="D80" s="10" t="str">
        <f t="shared" ca="1" si="10"/>
        <v xml:space="preserve"> </v>
      </c>
      <c r="E80" s="17" t="str">
        <f t="shared" ca="1" si="8"/>
        <v xml:space="preserve"> </v>
      </c>
      <c r="F80" s="17" t="str">
        <f t="shared" ca="1" si="7"/>
        <v xml:space="preserve"> </v>
      </c>
      <c r="G80" s="17" t="str">
        <f ca="1">IF(C80=" "," ",IF(C80=$D$9,$D$5-SUM($G$17:G79),($D$10-H80)))</f>
        <v xml:space="preserve"> </v>
      </c>
      <c r="H80" s="17" t="str">
        <f t="shared" ca="1" si="5"/>
        <v xml:space="preserve"> </v>
      </c>
      <c r="I80" s="10" t="str">
        <f t="shared" ca="1" si="4"/>
        <v xml:space="preserve"> </v>
      </c>
      <c r="U80" s="31" t="str">
        <f ca="1">IF(B79=$D$3,XIRR($F$16:F79,$C$16:C79)," ")</f>
        <v xml:space="preserve"> </v>
      </c>
    </row>
    <row r="81" spans="2:21" x14ac:dyDescent="0.25">
      <c r="B81" s="10" t="str">
        <f t="shared" ca="1" si="9"/>
        <v xml:space="preserve"> </v>
      </c>
      <c r="C81" s="28" t="str">
        <f t="shared" ca="1" si="2"/>
        <v xml:space="preserve"> </v>
      </c>
      <c r="D81" s="10" t="str">
        <f t="shared" ca="1" si="10"/>
        <v xml:space="preserve"> </v>
      </c>
      <c r="E81" s="17" t="str">
        <f t="shared" ca="1" si="8"/>
        <v xml:space="preserve"> </v>
      </c>
      <c r="F81" s="17" t="str">
        <f t="shared" ca="1" si="7"/>
        <v xml:space="preserve"> </v>
      </c>
      <c r="G81" s="17" t="str">
        <f ca="1">IF(C81=" "," ",IF(C81=$D$9,$D$5-SUM($G$17:G80),($D$10-H81)))</f>
        <v xml:space="preserve"> </v>
      </c>
      <c r="H81" s="17" t="str">
        <f t="shared" ca="1" si="5"/>
        <v xml:space="preserve"> </v>
      </c>
      <c r="I81" s="10" t="str">
        <f t="shared" ca="1" si="4"/>
        <v xml:space="preserve"> </v>
      </c>
      <c r="U81" s="31" t="str">
        <f ca="1">IF(B80=$D$3,XIRR($F$16:F80,$C$16:C80)," ")</f>
        <v xml:space="preserve"> </v>
      </c>
    </row>
    <row r="82" spans="2:21" x14ac:dyDescent="0.25">
      <c r="B82" s="10" t="str">
        <f t="shared" ca="1" si="9"/>
        <v xml:space="preserve"> </v>
      </c>
      <c r="C82" s="28" t="str">
        <f t="shared" ca="1" si="2"/>
        <v xml:space="preserve"> </v>
      </c>
      <c r="D82" s="10" t="str">
        <f t="shared" ca="1" si="10"/>
        <v xml:space="preserve"> </v>
      </c>
      <c r="E82" s="17" t="str">
        <f t="shared" ca="1" si="8"/>
        <v xml:space="preserve"> </v>
      </c>
      <c r="F82" s="17" t="str">
        <f t="shared" ca="1" si="7"/>
        <v xml:space="preserve"> </v>
      </c>
      <c r="G82" s="17" t="str">
        <f ca="1">IF(C82=" "," ",IF(C82=$D$9,$D$5-SUM($G$17:G81),($D$10-H82)))</f>
        <v xml:space="preserve"> </v>
      </c>
      <c r="H82" s="17" t="str">
        <f t="shared" ca="1" si="5"/>
        <v xml:space="preserve"> </v>
      </c>
      <c r="I82" s="10" t="str">
        <f t="shared" ca="1" si="4"/>
        <v xml:space="preserve"> </v>
      </c>
      <c r="U82" s="31" t="str">
        <f ca="1">IF(B81=$D$3,XIRR($F$16:F81,$C$16:C81)," ")</f>
        <v xml:space="preserve"> </v>
      </c>
    </row>
    <row r="83" spans="2:21" x14ac:dyDescent="0.25">
      <c r="B83" s="10" t="str">
        <f t="shared" ca="1" si="9"/>
        <v xml:space="preserve"> </v>
      </c>
      <c r="C83" s="28" t="str">
        <f t="shared" ref="C83:C87" ca="1" si="11">IF(B82&gt;=$D$3, " ", EDATE(C82,1))</f>
        <v xml:space="preserve"> </v>
      </c>
      <c r="D83" s="10" t="str">
        <f t="shared" ca="1" si="10"/>
        <v xml:space="preserve"> </v>
      </c>
      <c r="E83" s="17" t="str">
        <f t="shared" ca="1" si="8"/>
        <v xml:space="preserve"> </v>
      </c>
      <c r="F83" s="17" t="str">
        <f t="shared" ca="1" si="7"/>
        <v xml:space="preserve"> </v>
      </c>
      <c r="G83" s="17" t="str">
        <f ca="1">IF(C83=" "," ",IF(C83=$D$9,$D$5-SUM($G$17:G82),($D$10-H83)))</f>
        <v xml:space="preserve"> </v>
      </c>
      <c r="H83" s="17" t="str">
        <f t="shared" ca="1" si="5"/>
        <v xml:space="preserve"> </v>
      </c>
      <c r="I83" s="10" t="str">
        <f t="shared" ref="I83:I87" ca="1" si="12">IF(C83=" "," ",IF($F$8="нет",$D$7*$D$5,($D$5*(1+$D$8))*$D$7))</f>
        <v xml:space="preserve"> </v>
      </c>
      <c r="U83" s="31" t="str">
        <f ca="1">IF(B82=$D$3,XIRR($F$16:F82,$C$16:C82)," ")</f>
        <v xml:space="preserve"> </v>
      </c>
    </row>
    <row r="84" spans="2:21" x14ac:dyDescent="0.25">
      <c r="B84" s="10" t="str">
        <f t="shared" ca="1" si="9"/>
        <v xml:space="preserve"> </v>
      </c>
      <c r="C84" s="28" t="str">
        <f t="shared" ca="1" si="11"/>
        <v xml:space="preserve"> </v>
      </c>
      <c r="D84" s="10" t="str">
        <f t="shared" ca="1" si="10"/>
        <v xml:space="preserve"> </v>
      </c>
      <c r="E84" s="17" t="str">
        <f t="shared" ca="1" si="8"/>
        <v xml:space="preserve"> </v>
      </c>
      <c r="F84" s="17" t="str">
        <f t="shared" ca="1" si="7"/>
        <v xml:space="preserve"> </v>
      </c>
      <c r="G84" s="17" t="str">
        <f ca="1">IF(C84=" "," ",IF(C84=$D$9,$D$5-SUM($G$17:G83),($D$10-H84)))</f>
        <v xml:space="preserve"> </v>
      </c>
      <c r="H84" s="17" t="str">
        <f t="shared" ref="H84:H86" ca="1" si="13">IF(C84=" "," ",E83*$D$6*D84/365)</f>
        <v xml:space="preserve"> </v>
      </c>
      <c r="I84" s="10" t="str">
        <f t="shared" ca="1" si="12"/>
        <v xml:space="preserve"> </v>
      </c>
      <c r="U84" s="31" t="str">
        <f ca="1">IF(B83=$D$3,XIRR($F$16:F83,$C$16:C83)," ")</f>
        <v xml:space="preserve"> </v>
      </c>
    </row>
    <row r="85" spans="2:21" x14ac:dyDescent="0.25">
      <c r="B85" s="10" t="str">
        <f t="shared" ca="1" si="9"/>
        <v xml:space="preserve"> </v>
      </c>
      <c r="C85" s="28" t="str">
        <f t="shared" ca="1" si="11"/>
        <v xml:space="preserve"> </v>
      </c>
      <c r="D85" s="10" t="str">
        <f t="shared" ca="1" si="10"/>
        <v xml:space="preserve"> </v>
      </c>
      <c r="E85" s="17" t="str">
        <f t="shared" ca="1" si="8"/>
        <v xml:space="preserve"> </v>
      </c>
      <c r="F85" s="17" t="str">
        <f t="shared" ca="1" si="7"/>
        <v xml:space="preserve"> </v>
      </c>
      <c r="G85" s="17" t="str">
        <f ca="1">IF(C85=" "," ",IF(C85=$D$9,$D$5-SUM($G$17:G84),($D$10-H85)))</f>
        <v xml:space="preserve"> </v>
      </c>
      <c r="H85" s="17" t="str">
        <f t="shared" ca="1" si="13"/>
        <v xml:space="preserve"> </v>
      </c>
      <c r="I85" s="10" t="str">
        <f t="shared" ca="1" si="12"/>
        <v xml:space="preserve"> </v>
      </c>
      <c r="U85" s="31" t="str">
        <f ca="1">IF(B84=$D$3,XIRR($F$16:F84,$C$16:C84)," ")</f>
        <v xml:space="preserve"> </v>
      </c>
    </row>
    <row r="86" spans="2:21" x14ac:dyDescent="0.25">
      <c r="B86" s="10" t="str">
        <f t="shared" ca="1" si="9"/>
        <v xml:space="preserve"> </v>
      </c>
      <c r="C86" s="28" t="str">
        <f t="shared" ca="1" si="11"/>
        <v xml:space="preserve"> </v>
      </c>
      <c r="D86" s="10" t="str">
        <f t="shared" ca="1" si="10"/>
        <v xml:space="preserve"> </v>
      </c>
      <c r="E86" s="17" t="str">
        <f t="shared" ca="1" si="8"/>
        <v xml:space="preserve"> </v>
      </c>
      <c r="F86" s="17" t="str">
        <f t="shared" ref="F86" ca="1" si="14">IF(C86=" "," ",G84+H84+I84)</f>
        <v xml:space="preserve"> </v>
      </c>
      <c r="H86" s="17" t="str">
        <f t="shared" ca="1" si="13"/>
        <v xml:space="preserve"> </v>
      </c>
      <c r="I86" s="10" t="str">
        <f t="shared" ca="1" si="12"/>
        <v xml:space="preserve"> </v>
      </c>
      <c r="U86" s="31" t="str">
        <f ca="1">IF(B85=$D$3,XIRR($F$16:F85,$C$16:C85)," ")</f>
        <v xml:space="preserve"> </v>
      </c>
    </row>
    <row r="87" spans="2:21" x14ac:dyDescent="0.25">
      <c r="B87" s="10" t="str">
        <f t="shared" ca="1" si="9"/>
        <v xml:space="preserve"> </v>
      </c>
      <c r="C87" s="28" t="str">
        <f t="shared" ca="1" si="11"/>
        <v xml:space="preserve"> </v>
      </c>
      <c r="D87" s="10" t="str">
        <f t="shared" ca="1" si="10"/>
        <v xml:space="preserve"> </v>
      </c>
      <c r="I87" s="10" t="str">
        <f t="shared" ca="1" si="12"/>
        <v xml:space="preserve"> </v>
      </c>
      <c r="U87" s="31" t="str">
        <f ca="1">IF(B87=$D$3,XIRR(#REF!,$C$16:C86)," ")</f>
        <v xml:space="preserve"> </v>
      </c>
    </row>
  </sheetData>
  <sheetProtection algorithmName="SHA-512" hashValue="udyfzVdkie8hSP1cAQP0iuRUfoG8aiPIqmXeCl+zxsIwwKBAmPeLLzhJ5AmpsSQKWQvKSlITufyeG9ZDn6lxFw==" saltValue="6Wqx7wPWa76pjU0a/DTlPw==" spinCount="100000" sheet="1" objects="1" scenarios="1"/>
  <mergeCells count="23">
    <mergeCell ref="F11:F14"/>
    <mergeCell ref="G11:R11"/>
    <mergeCell ref="S11:S14"/>
    <mergeCell ref="T11:T14"/>
    <mergeCell ref="G12:G14"/>
    <mergeCell ref="H12:H14"/>
    <mergeCell ref="I12:R12"/>
    <mergeCell ref="I13:L13"/>
    <mergeCell ref="M13:N13"/>
    <mergeCell ref="O13:R13"/>
    <mergeCell ref="D11:D14"/>
    <mergeCell ref="E11:E14"/>
    <mergeCell ref="B6:C6"/>
    <mergeCell ref="B7:C7"/>
    <mergeCell ref="B8:C8"/>
    <mergeCell ref="B9:C9"/>
    <mergeCell ref="B10:C10"/>
    <mergeCell ref="B1:C1"/>
    <mergeCell ref="B2:C2"/>
    <mergeCell ref="B3:C3"/>
    <mergeCell ref="B5:C5"/>
    <mergeCell ref="B11:B14"/>
    <mergeCell ref="C11:C14"/>
  </mergeCells>
  <dataValidations count="1">
    <dataValidation type="list" allowBlank="1" showInputMessage="1" showErrorMessage="1" sqref="F8" xr:uid="{00000000-0002-0000-0200-000000000000}">
      <formula1>$AA$2:$AA$3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5B5F9951D90747911F11A1BA2E2708" ma:contentTypeVersion="1" ma:contentTypeDescription="Создание документа." ma:contentTypeScope="" ma:versionID="3bf3e9f1fc6490a5bf3e8b22fa5f4136">
  <xsd:schema xmlns:xsd="http://www.w3.org/2001/XMLSchema" xmlns:p="http://schemas.microsoft.com/office/2006/metadata/properties" xmlns:ns2="9372ceb1-08dc-477f-9ca6-b24f5b18a01a" targetNamespace="http://schemas.microsoft.com/office/2006/metadata/properties" ma:root="true" ma:fieldsID="8a6a44cf1ed19173f0a704b95c25c7d9" ns2:_="">
    <xsd:import namespace="9372ceb1-08dc-477f-9ca6-b24f5b18a01a"/>
    <xsd:element name="properties">
      <xsd:complexType>
        <xsd:sequence>
          <xsd:element name="documentManagement">
            <xsd:complexType>
              <xsd:all>
                <xsd:element ref="ns2:_x043e__x043f__x0438__x0441__x0430__x043d__x0438__x0435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372ceb1-08dc-477f-9ca6-b24f5b18a01a" elementFormDefault="qualified">
    <xsd:import namespace="http://schemas.microsoft.com/office/2006/documentManagement/types"/>
    <xsd:element name="_x043e__x043f__x0438__x0441__x0430__x043d__x0438__x0435_" ma:index="8" nillable="true" ma:displayName="Описание" ma:internalName="_x043e__x043f__x0438__x0441__x0430__x043d__x0438__x0435_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x043e__x043f__x0438__x0441__x0430__x043d__x0438__x0435_ xmlns="9372ceb1-08dc-477f-9ca6-b24f5b18a01a" xsi:nil="true"/>
  </documentManagement>
</p:properties>
</file>

<file path=customXml/itemProps1.xml><?xml version="1.0" encoding="utf-8"?>
<ds:datastoreItem xmlns:ds="http://schemas.openxmlformats.org/officeDocument/2006/customXml" ds:itemID="{97F83FD0-D419-4955-9171-50E948980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2ceb1-08dc-477f-9ca6-b24f5b18a01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1E96840-1696-42FD-88E3-7E023982C7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4A069-A489-468E-A326-BF5AA9660854}">
  <ds:schemaRefs>
    <ds:schemaRef ds:uri="http://purl.org/dc/dcmitype/"/>
    <ds:schemaRef ds:uri="http://schemas.microsoft.com/office/2006/metadata/properties"/>
    <ds:schemaRef ds:uri="http://purl.org/dc/elements/1.1/"/>
    <ds:schemaRef ds:uri="9372ceb1-08dc-477f-9ca6-b24f5b18a01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cash</vt:lpstr>
      <vt:lpstr>zalog</vt:lpstr>
      <vt:lpstr>FOP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Шпаковский Александр Михайлович</dc:creator>
  <cp:lastModifiedBy>Khoryk Serhii</cp:lastModifiedBy>
  <dcterms:created xsi:type="dcterms:W3CDTF">2022-04-19T08:05:59Z</dcterms:created>
  <dcterms:modified xsi:type="dcterms:W3CDTF">2024-05-29T08:04:52Z</dcterms:modified>
</cp:coreProperties>
</file>